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GOBERNACION QUINDIO 2019\SEGUIMIENTO PDD 2019\I TRIMESTRE 2019\SGTO PDD I TRIMESTRE 2019\INSTRUMENTOS I TRIMESTRE 2019\"/>
    </mc:Choice>
  </mc:AlternateContent>
  <bookViews>
    <workbookView xWindow="0" yWindow="0" windowWidth="24000" windowHeight="9135" firstSheet="9" activeTab="10"/>
  </bookViews>
  <sheets>
    <sheet name="PA ADMINISTRATIVA" sheetId="1" r:id="rId1"/>
    <sheet name="PA PLANEACION" sheetId="11" r:id="rId2"/>
    <sheet name="PA HACIENDA" sheetId="6" r:id="rId3"/>
    <sheet name="PA AGUAS INFRA" sheetId="9" r:id="rId4"/>
    <sheet name="PA INTERIOR" sheetId="10" r:id="rId5"/>
    <sheet name="PA CULTURA" sheetId="3" r:id="rId6"/>
    <sheet name="PA TURISMO" sheetId="16" r:id="rId7"/>
    <sheet name="PA AGRICULTURA" sheetId="2" r:id="rId8"/>
    <sheet name="PA PRIVADA" sheetId="12" r:id="rId9"/>
    <sheet name="PA EDUCACION" sheetId="4" r:id="rId10"/>
    <sheet name="PA FAMILIA" sheetId="17" r:id="rId11"/>
    <sheet name="PA REPR JUDICIAL" sheetId="14" r:id="rId12"/>
    <sheet name="PA SALUD" sheetId="15" r:id="rId13"/>
    <sheet name="PA INDEPORTES" sheetId="8" r:id="rId14"/>
    <sheet name="PA PROMOTORA" sheetId="13" r:id="rId15"/>
    <sheet name="PA IDTQ" sheetId="7" r:id="rId16"/>
  </sheets>
  <externalReferences>
    <externalReference r:id="rId17"/>
    <externalReference r:id="rId18"/>
    <externalReference r:id="rId19"/>
    <externalReference r:id="rId20"/>
  </externalReferences>
  <definedNames>
    <definedName name="_1._Apoyo_con_equipos_para_la_seguridad_vial_Licenciamiento_de_software_para_comunicaciones" localSheetId="7">#REF!</definedName>
    <definedName name="_1._Apoyo_con_equipos_para_la_seguridad_vial_Licenciamiento_de_software_para_comunicaciones" localSheetId="3">#REF!</definedName>
    <definedName name="_1._Apoyo_con_equipos_para_la_seguridad_vial_Licenciamiento_de_software_para_comunicaciones" localSheetId="5">#REF!</definedName>
    <definedName name="_1._Apoyo_con_equipos_para_la_seguridad_vial_Licenciamiento_de_software_para_comunicaciones" localSheetId="9">#REF!</definedName>
    <definedName name="_1._Apoyo_con_equipos_para_la_seguridad_vial_Licenciamiento_de_software_para_comunicaciones" localSheetId="10">#REF!</definedName>
    <definedName name="_1._Apoyo_con_equipos_para_la_seguridad_vial_Licenciamiento_de_software_para_comunicaciones" localSheetId="2">#REF!</definedName>
    <definedName name="_1._Apoyo_con_equipos_para_la_seguridad_vial_Licenciamiento_de_software_para_comunicaciones" localSheetId="15">#REF!</definedName>
    <definedName name="_1._Apoyo_con_equipos_para_la_seguridad_vial_Licenciamiento_de_software_para_comunicaciones" localSheetId="13">#REF!</definedName>
    <definedName name="_1._Apoyo_con_equipos_para_la_seguridad_vial_Licenciamiento_de_software_para_comunicaciones" localSheetId="4">#REF!</definedName>
    <definedName name="_1._Apoyo_con_equipos_para_la_seguridad_vial_Licenciamiento_de_software_para_comunicaciones" localSheetId="1">#REF!</definedName>
    <definedName name="_1._Apoyo_con_equipos_para_la_seguridad_vial_Licenciamiento_de_software_para_comunicaciones" localSheetId="8">#REF!</definedName>
    <definedName name="_1._Apoyo_con_equipos_para_la_seguridad_vial_Licenciamiento_de_software_para_comunicaciones" localSheetId="14">#REF!</definedName>
    <definedName name="_1._Apoyo_con_equipos_para_la_seguridad_vial_Licenciamiento_de_software_para_comunicaciones" localSheetId="11">#REF!</definedName>
    <definedName name="_1._Apoyo_con_equipos_para_la_seguridad_vial_Licenciamiento_de_software_para_comunicaciones" localSheetId="12">#REF!</definedName>
    <definedName name="_1._Apoyo_con_equipos_para_la_seguridad_vial_Licenciamiento_de_software_para_comunicaciones" localSheetId="6">#REF!</definedName>
    <definedName name="_1._Apoyo_con_equipos_para_la_seguridad_vial_Licenciamiento_de_software_para_comunicaciones">#REF!</definedName>
    <definedName name="_xlnm._FilterDatabase" localSheetId="9" hidden="1">'PA EDUCACION'!$A$10:$BL$10</definedName>
    <definedName name="_xlnm._FilterDatabase" localSheetId="1" hidden="1">'PA PLANEACION'!$A$1:$AQ$148</definedName>
    <definedName name="_xlnm.Print_Area" localSheetId="1">'PA PLANEACION'!$A$1:$AQ$10</definedName>
    <definedName name="CODIGO_DIVIPOLA" localSheetId="7">#REF!</definedName>
    <definedName name="CODIGO_DIVIPOLA" localSheetId="3">#REF!</definedName>
    <definedName name="CODIGO_DIVIPOLA" localSheetId="5">#REF!</definedName>
    <definedName name="CODIGO_DIVIPOLA" localSheetId="9">#REF!</definedName>
    <definedName name="CODIGO_DIVIPOLA" localSheetId="10">#REF!</definedName>
    <definedName name="CODIGO_DIVIPOLA" localSheetId="2">#REF!</definedName>
    <definedName name="CODIGO_DIVIPOLA" localSheetId="15">#REF!</definedName>
    <definedName name="CODIGO_DIVIPOLA" localSheetId="13">#REF!</definedName>
    <definedName name="CODIGO_DIVIPOLA" localSheetId="4">#REF!</definedName>
    <definedName name="CODIGO_DIVIPOLA" localSheetId="1">#REF!</definedName>
    <definedName name="CODIGO_DIVIPOLA" localSheetId="8">#REF!</definedName>
    <definedName name="CODIGO_DIVIPOLA" localSheetId="14">#REF!</definedName>
    <definedName name="CODIGO_DIVIPOLA" localSheetId="11">#REF!</definedName>
    <definedName name="CODIGO_DIVIPOLA" localSheetId="12">#REF!</definedName>
    <definedName name="CODIGO_DIVIPOLA" localSheetId="6">#REF!</definedName>
    <definedName name="CODIGO_DIVIPOLA">#REF!</definedName>
    <definedName name="DboREGISTRO_LEY_617" localSheetId="7">#REF!</definedName>
    <definedName name="DboREGISTRO_LEY_617" localSheetId="3">#REF!</definedName>
    <definedName name="DboREGISTRO_LEY_617" localSheetId="5">#REF!</definedName>
    <definedName name="DboREGISTRO_LEY_617" localSheetId="9">#REF!</definedName>
    <definedName name="DboREGISTRO_LEY_617" localSheetId="10">#REF!</definedName>
    <definedName name="DboREGISTRO_LEY_617" localSheetId="2">#REF!</definedName>
    <definedName name="DboREGISTRO_LEY_617" localSheetId="15">#REF!</definedName>
    <definedName name="DboREGISTRO_LEY_617" localSheetId="13">#REF!</definedName>
    <definedName name="DboREGISTRO_LEY_617" localSheetId="4">#REF!</definedName>
    <definedName name="DboREGISTRO_LEY_617" localSheetId="1">#REF!</definedName>
    <definedName name="DboREGISTRO_LEY_617" localSheetId="8">#REF!</definedName>
    <definedName name="DboREGISTRO_LEY_617" localSheetId="14">#REF!</definedName>
    <definedName name="DboREGISTRO_LEY_617" localSheetId="11">#REF!</definedName>
    <definedName name="DboREGISTRO_LEY_617" localSheetId="12">#REF!</definedName>
    <definedName name="DboREGISTRO_LEY_617" localSheetId="6">#REF!</definedName>
    <definedName name="DboREGISTRO_LEY_617">#REF!</definedName>
    <definedName name="ññ" localSheetId="7">#REF!</definedName>
    <definedName name="ññ" localSheetId="3">#REF!</definedName>
    <definedName name="ññ" localSheetId="5">#REF!</definedName>
    <definedName name="ññ" localSheetId="9">#REF!</definedName>
    <definedName name="ññ" localSheetId="10">#REF!</definedName>
    <definedName name="ññ" localSheetId="2">#REF!</definedName>
    <definedName name="ññ" localSheetId="15">#REF!</definedName>
    <definedName name="ññ" localSheetId="13">#REF!</definedName>
    <definedName name="ññ" localSheetId="4">#REF!</definedName>
    <definedName name="ññ" localSheetId="1">#REF!</definedName>
    <definedName name="ññ" localSheetId="8">#REF!</definedName>
    <definedName name="ññ" localSheetId="14">#REF!</definedName>
    <definedName name="ññ" localSheetId="11">#REF!</definedName>
    <definedName name="ññ" localSheetId="12">#REF!</definedName>
    <definedName name="ññ" localSheetId="6">#REF!</definedName>
    <definedName name="ññ">#REF!</definedName>
    <definedName name="_xlnm.Print_Titles" localSheetId="1">'PA PLANEACION'!$1:$7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32" i="17" l="1"/>
  <c r="N131" i="17" s="1"/>
  <c r="S130" i="17"/>
  <c r="N129" i="17"/>
  <c r="S125" i="17"/>
  <c r="S124" i="17"/>
  <c r="AK121" i="17"/>
  <c r="O121" i="17"/>
  <c r="N128" i="17" s="1"/>
  <c r="AK101" i="17"/>
  <c r="AC101" i="17"/>
  <c r="AK99" i="17"/>
  <c r="AB99" i="17"/>
  <c r="AK96" i="17"/>
  <c r="AK94" i="17"/>
  <c r="S86" i="17"/>
  <c r="S79" i="17"/>
  <c r="O75" i="17" s="1"/>
  <c r="S73" i="17"/>
  <c r="S65" i="17"/>
  <c r="S64" i="17"/>
  <c r="S62" i="17"/>
  <c r="S61" i="17"/>
  <c r="O58" i="17" s="1"/>
  <c r="N58" i="17" s="1"/>
  <c r="AK58" i="17"/>
  <c r="N53" i="17"/>
  <c r="N50" i="17"/>
  <c r="O44" i="17"/>
  <c r="N44" i="17" s="1"/>
  <c r="S41" i="17"/>
  <c r="S40" i="17"/>
  <c r="S36" i="17"/>
  <c r="S34" i="17"/>
  <c r="S32" i="17"/>
  <c r="S31" i="17"/>
  <c r="AK30" i="17"/>
  <c r="S30" i="17"/>
  <c r="O30" i="17" s="1"/>
  <c r="S25" i="17"/>
  <c r="S24" i="17"/>
  <c r="S133" i="17" s="1"/>
  <c r="S23" i="17"/>
  <c r="AK22" i="17"/>
  <c r="O22" i="17"/>
  <c r="N22" i="17" s="1"/>
  <c r="AK12" i="17"/>
  <c r="O12" i="17"/>
  <c r="N16" i="17" s="1"/>
  <c r="N12" i="17"/>
  <c r="N40" i="17" l="1"/>
  <c r="N37" i="17"/>
  <c r="N30" i="17"/>
  <c r="N121" i="17"/>
  <c r="V85" i="16"/>
  <c r="V84" i="16"/>
  <c r="V83" i="16"/>
  <c r="R82" i="16" s="1"/>
  <c r="AN82" i="16"/>
  <c r="AN69" i="16"/>
  <c r="R69" i="16"/>
  <c r="Q69" i="16" s="1"/>
  <c r="AN63" i="16"/>
  <c r="R63" i="16"/>
  <c r="Q63" i="16" s="1"/>
  <c r="V58" i="16"/>
  <c r="V55" i="16"/>
  <c r="Q55" i="16" s="1"/>
  <c r="V53" i="16"/>
  <c r="AN52" i="16"/>
  <c r="R52" i="16"/>
  <c r="Q58" i="16" s="1"/>
  <c r="V48" i="16"/>
  <c r="V34" i="16"/>
  <c r="AN33" i="16"/>
  <c r="R33" i="16"/>
  <c r="Q47" i="16" s="1"/>
  <c r="V24" i="16"/>
  <c r="AN23" i="16"/>
  <c r="V14" i="16"/>
  <c r="V88" i="16" s="1"/>
  <c r="AN13" i="16"/>
  <c r="R13" i="16"/>
  <c r="Q17" i="16" s="1"/>
  <c r="Q82" i="16" l="1"/>
  <c r="Q23" i="16"/>
  <c r="R23" i="16"/>
  <c r="Q66" i="16"/>
  <c r="Q33" i="16"/>
  <c r="Q39" i="16"/>
  <c r="Q52" i="16"/>
  <c r="Q13" i="16"/>
  <c r="Q43" i="16"/>
  <c r="Q29" i="16" l="1"/>
  <c r="Q26" i="16"/>
  <c r="R88" i="16"/>
  <c r="V296" i="15"/>
  <c r="Q290" i="15"/>
  <c r="Q286" i="15"/>
  <c r="Q283" i="15"/>
  <c r="Q281" i="15"/>
  <c r="Q274" i="15"/>
  <c r="Q245" i="15"/>
  <c r="Q242" i="15"/>
  <c r="Q239" i="15"/>
  <c r="Q232" i="15"/>
  <c r="Q228" i="15"/>
  <c r="AD220" i="15"/>
  <c r="AC220" i="15"/>
  <c r="R220" i="15"/>
  <c r="R214" i="15"/>
  <c r="Q205" i="15"/>
  <c r="Q199" i="15"/>
  <c r="Q191" i="15"/>
  <c r="Q185" i="15"/>
  <c r="Q176" i="15"/>
  <c r="Q175" i="15"/>
  <c r="Q171" i="15"/>
  <c r="Q165" i="15"/>
  <c r="Q159" i="15"/>
  <c r="Q151" i="15"/>
  <c r="R127" i="15"/>
  <c r="Q119" i="15"/>
  <c r="Q105" i="15"/>
  <c r="R97" i="15"/>
  <c r="Q97" i="15" s="1"/>
  <c r="R85" i="15"/>
  <c r="Q85" i="15" s="1"/>
  <c r="R65" i="15"/>
  <c r="Q74" i="15" s="1"/>
  <c r="Q59" i="15"/>
  <c r="Q47" i="15"/>
  <c r="Q42" i="15"/>
  <c r="R38" i="15"/>
  <c r="Q38" i="15"/>
  <c r="Q34" i="15"/>
  <c r="Q33" i="15"/>
  <c r="Q24" i="15"/>
  <c r="Q19" i="15"/>
  <c r="Q12" i="15"/>
  <c r="Q89" i="15" l="1"/>
  <c r="Q101" i="15"/>
  <c r="R296" i="15"/>
  <c r="Q79" i="15"/>
  <c r="Q93" i="15"/>
  <c r="Q65" i="15"/>
  <c r="W21" i="14" l="1"/>
  <c r="AO13" i="14"/>
  <c r="S13" i="14"/>
  <c r="R13" i="14" s="1"/>
  <c r="S21" i="14" l="1"/>
  <c r="S21" i="13" l="1"/>
  <c r="O20" i="13" s="1"/>
  <c r="S20" i="13"/>
  <c r="S18" i="13"/>
  <c r="O18" i="13" s="1"/>
  <c r="S17" i="13"/>
  <c r="O17" i="13" s="1"/>
  <c r="AA15" i="13"/>
  <c r="Z15" i="13"/>
  <c r="Y15" i="13"/>
  <c r="X15" i="13"/>
  <c r="AK15" i="13" s="1"/>
  <c r="W15" i="13"/>
  <c r="V15" i="13"/>
  <c r="S15" i="13"/>
  <c r="O15" i="13"/>
  <c r="AK12" i="13"/>
  <c r="S12" i="13"/>
  <c r="O12" i="13"/>
  <c r="O22" i="13" l="1"/>
  <c r="N15" i="13" s="1"/>
  <c r="S22" i="13"/>
  <c r="N20" i="13" l="1"/>
  <c r="N12" i="13"/>
  <c r="N17" i="13"/>
  <c r="N18" i="13"/>
  <c r="T23" i="12"/>
  <c r="T20" i="12"/>
  <c r="AL19" i="12"/>
  <c r="P19" i="12"/>
  <c r="O19" i="12" s="1"/>
  <c r="AL16" i="12"/>
  <c r="P16" i="12"/>
  <c r="O16" i="12"/>
  <c r="T15" i="12"/>
  <c r="T24" i="12" s="1"/>
  <c r="T13" i="12"/>
  <c r="AL12" i="12"/>
  <c r="P12" i="12"/>
  <c r="P24" i="12" s="1"/>
  <c r="O12" i="12" l="1"/>
  <c r="V144" i="11" l="1"/>
  <c r="V140" i="11"/>
  <c r="V137" i="11"/>
  <c r="R127" i="11" s="1"/>
  <c r="V130" i="11"/>
  <c r="V128" i="11"/>
  <c r="AN127" i="11"/>
  <c r="V125" i="11"/>
  <c r="V124" i="11"/>
  <c r="AN115" i="11"/>
  <c r="AL115" i="11"/>
  <c r="R115" i="11"/>
  <c r="V114" i="11"/>
  <c r="V112" i="11"/>
  <c r="V111" i="11"/>
  <c r="V109" i="11"/>
  <c r="V107" i="11"/>
  <c r="V105" i="11"/>
  <c r="V100" i="11"/>
  <c r="R96" i="11" s="1"/>
  <c r="V99" i="11"/>
  <c r="AN96" i="11"/>
  <c r="V95" i="11"/>
  <c r="V93" i="11"/>
  <c r="V91" i="11"/>
  <c r="AN90" i="11"/>
  <c r="R90" i="11"/>
  <c r="V89" i="11"/>
  <c r="V88" i="11"/>
  <c r="V86" i="11"/>
  <c r="V84" i="11"/>
  <c r="R81" i="11" s="1"/>
  <c r="V82" i="11"/>
  <c r="AN81" i="11"/>
  <c r="V80" i="11"/>
  <c r="V78" i="11"/>
  <c r="V73" i="11"/>
  <c r="V72" i="11"/>
  <c r="V71" i="11"/>
  <c r="V70" i="11"/>
  <c r="V69" i="11"/>
  <c r="V68" i="11"/>
  <c r="V67" i="11"/>
  <c r="R66" i="11" s="1"/>
  <c r="AN66" i="11"/>
  <c r="V66" i="11"/>
  <c r="V63" i="11"/>
  <c r="V62" i="11"/>
  <c r="V61" i="11"/>
  <c r="V60" i="11"/>
  <c r="V59" i="11"/>
  <c r="V57" i="11"/>
  <c r="V56" i="11"/>
  <c r="R52" i="11" s="1"/>
  <c r="AN52" i="11"/>
  <c r="AN34" i="11"/>
  <c r="R34" i="11"/>
  <c r="AN11" i="11"/>
  <c r="R11" i="11"/>
  <c r="Q129" i="11" l="1"/>
  <c r="Q142" i="11"/>
  <c r="Q146" i="11"/>
  <c r="Q134" i="11"/>
  <c r="Q143" i="11"/>
  <c r="Q136" i="11"/>
  <c r="Q139" i="11"/>
  <c r="Q132" i="11"/>
  <c r="Q127" i="11"/>
  <c r="R148" i="11"/>
  <c r="Q75" i="11"/>
  <c r="Q74" i="11"/>
  <c r="Q77" i="11"/>
  <c r="Q76" i="11"/>
  <c r="Q66" i="11"/>
  <c r="V148" i="11"/>
  <c r="R174" i="10" l="1"/>
  <c r="Q174" i="10" s="1"/>
  <c r="AN167" i="10"/>
  <c r="R167" i="10"/>
  <c r="Q167" i="10"/>
  <c r="Q157" i="10"/>
  <c r="Q152" i="10"/>
  <c r="AN138" i="10"/>
  <c r="R138" i="10"/>
  <c r="Q158" i="10" s="1"/>
  <c r="Q138" i="10"/>
  <c r="Q134" i="10"/>
  <c r="AN132" i="10"/>
  <c r="R132" i="10"/>
  <c r="Q132" i="10"/>
  <c r="V122" i="10"/>
  <c r="R115" i="10" s="1"/>
  <c r="Q104" i="10"/>
  <c r="AN102" i="10"/>
  <c r="R102" i="10"/>
  <c r="Q102" i="10"/>
  <c r="Q98" i="10"/>
  <c r="Q94" i="10"/>
  <c r="AN92" i="10"/>
  <c r="R92" i="10"/>
  <c r="Q92" i="10"/>
  <c r="Q87" i="10"/>
  <c r="Q79" i="10"/>
  <c r="Q77" i="10"/>
  <c r="AN68" i="10"/>
  <c r="R68" i="10"/>
  <c r="Q85" i="10" s="1"/>
  <c r="Q68" i="10"/>
  <c r="Q65" i="10"/>
  <c r="Q58" i="10"/>
  <c r="AN51" i="10"/>
  <c r="R51" i="10"/>
  <c r="Q51" i="10"/>
  <c r="Q47" i="10"/>
  <c r="V20" i="10"/>
  <c r="V179" i="10" s="1"/>
  <c r="Q16" i="10"/>
  <c r="Q15" i="10"/>
  <c r="AN13" i="10"/>
  <c r="R13" i="10"/>
  <c r="Q20" i="10" s="1"/>
  <c r="Q13" i="10"/>
  <c r="Q115" i="10" l="1"/>
  <c r="Q118" i="10"/>
  <c r="Q124" i="10"/>
  <c r="Q116" i="10"/>
  <c r="Q123" i="10"/>
  <c r="Q161" i="10"/>
  <c r="R179" i="10"/>
  <c r="AN56" i="9"/>
  <c r="R56" i="9"/>
  <c r="Q56" i="9"/>
  <c r="Q55" i="9"/>
  <c r="Q54" i="9"/>
  <c r="Q50" i="9"/>
  <c r="Q44" i="9"/>
  <c r="Q42" i="9"/>
  <c r="R37" i="9"/>
  <c r="Q52" i="9" s="1"/>
  <c r="Q37" i="9"/>
  <c r="Q31" i="9"/>
  <c r="AN26" i="9"/>
  <c r="R26" i="9"/>
  <c r="Q26" i="9"/>
  <c r="R21" i="9"/>
  <c r="Q21" i="9"/>
  <c r="R20" i="9"/>
  <c r="Q20" i="9"/>
  <c r="R18" i="9"/>
  <c r="Q18" i="9"/>
  <c r="R16" i="9"/>
  <c r="Q16" i="9"/>
  <c r="V12" i="9"/>
  <c r="Q12" i="9" s="1"/>
  <c r="R12" i="9"/>
  <c r="R57" i="9" s="1"/>
  <c r="V57" i="9" l="1"/>
  <c r="R45" i="8" l="1"/>
  <c r="Q45" i="8"/>
  <c r="V43" i="8"/>
  <c r="V47" i="8" s="1"/>
  <c r="AN41" i="8"/>
  <c r="R41" i="8"/>
  <c r="Q41" i="8" s="1"/>
  <c r="V40" i="8"/>
  <c r="AN31" i="8"/>
  <c r="R31" i="8"/>
  <c r="Q37" i="8" s="1"/>
  <c r="V29" i="8"/>
  <c r="Q27" i="8"/>
  <c r="Q26" i="8"/>
  <c r="AN25" i="8"/>
  <c r="R25" i="8"/>
  <c r="Q28" i="8" s="1"/>
  <c r="Q25" i="8"/>
  <c r="V24" i="8"/>
  <c r="AN21" i="8"/>
  <c r="R21" i="8"/>
  <c r="Q23" i="8" s="1"/>
  <c r="V20" i="8"/>
  <c r="Q19" i="8"/>
  <c r="AP18" i="8"/>
  <c r="R18" i="8"/>
  <c r="Q18" i="8"/>
  <c r="V17" i="8"/>
  <c r="Q16" i="8"/>
  <c r="Q14" i="8"/>
  <c r="Q13" i="8"/>
  <c r="AN12" i="8"/>
  <c r="R12" i="8"/>
  <c r="R47" i="8" s="1"/>
  <c r="Q12" i="8"/>
  <c r="Q34" i="8" l="1"/>
  <c r="Q38" i="8"/>
  <c r="Q22" i="8"/>
  <c r="Q35" i="8"/>
  <c r="Q39" i="8"/>
  <c r="Q15" i="8"/>
  <c r="Q21" i="8"/>
  <c r="Q32" i="8"/>
  <c r="Q36" i="8"/>
  <c r="Q42" i="8"/>
  <c r="Q31" i="8"/>
  <c r="Q33" i="8"/>
  <c r="V17" i="7" l="1"/>
  <c r="V16" i="7"/>
  <c r="R16" i="7"/>
  <c r="Q16" i="7" s="1"/>
  <c r="V15" i="7"/>
  <c r="V14" i="7"/>
  <c r="R14" i="7"/>
  <c r="Q14" i="7" s="1"/>
  <c r="V13" i="7"/>
  <c r="V12" i="7"/>
  <c r="R12" i="7"/>
  <c r="Q12" i="7" s="1"/>
  <c r="V18" i="7" l="1"/>
  <c r="V22" i="6"/>
  <c r="R22" i="6"/>
  <c r="V21" i="6"/>
  <c r="AN19" i="6"/>
  <c r="R19" i="6"/>
  <c r="Q19" i="6" s="1"/>
  <c r="V15" i="6"/>
  <c r="Q14" i="6"/>
  <c r="V13" i="6"/>
  <c r="AN12" i="6"/>
  <c r="R12" i="6"/>
  <c r="Q16" i="6" s="1"/>
  <c r="Q12" i="6"/>
  <c r="Q20" i="6" l="1"/>
  <c r="V121" i="4" l="1"/>
  <c r="R120" i="4" s="1"/>
  <c r="V120" i="4"/>
  <c r="Q117" i="4"/>
  <c r="AN115" i="4"/>
  <c r="R115" i="4"/>
  <c r="Q115" i="4"/>
  <c r="AN113" i="4"/>
  <c r="R113" i="4"/>
  <c r="Q113" i="4" s="1"/>
  <c r="R109" i="4"/>
  <c r="Q109" i="4"/>
  <c r="Q107" i="4"/>
  <c r="R105" i="4"/>
  <c r="Q105" i="4"/>
  <c r="R99" i="4"/>
  <c r="Q99" i="4" s="1"/>
  <c r="V98" i="4"/>
  <c r="Q95" i="4"/>
  <c r="V94" i="4"/>
  <c r="Q93" i="4" s="1"/>
  <c r="R92" i="4"/>
  <c r="Q97" i="4" s="1"/>
  <c r="Q92" i="4"/>
  <c r="R86" i="4"/>
  <c r="V80" i="4"/>
  <c r="V79" i="4"/>
  <c r="R79" i="4"/>
  <c r="Q79" i="4" s="1"/>
  <c r="V75" i="4"/>
  <c r="Q75" i="4"/>
  <c r="Q73" i="4"/>
  <c r="V72" i="4"/>
  <c r="R71" i="4"/>
  <c r="Q77" i="4" s="1"/>
  <c r="Q71" i="4"/>
  <c r="V67" i="4"/>
  <c r="V56" i="4"/>
  <c r="V54" i="4"/>
  <c r="V45" i="4"/>
  <c r="R43" i="4" s="1"/>
  <c r="Q48" i="4" s="1"/>
  <c r="R33" i="4"/>
  <c r="V26" i="4"/>
  <c r="R25" i="4" s="1"/>
  <c r="V23" i="4"/>
  <c r="V20" i="4"/>
  <c r="V15" i="4"/>
  <c r="R11" i="4" s="1"/>
  <c r="V13" i="4"/>
  <c r="V122" i="4" s="1"/>
  <c r="AN11" i="4"/>
  <c r="Q30" i="4" l="1"/>
  <c r="Q28" i="4"/>
  <c r="Q31" i="4"/>
  <c r="Q32" i="4"/>
  <c r="Q27" i="4"/>
  <c r="Q56" i="4"/>
  <c r="Q20" i="4"/>
  <c r="Q16" i="4"/>
  <c r="Q11" i="4"/>
  <c r="Q53" i="4"/>
  <c r="Q44" i="4"/>
  <c r="R53" i="4"/>
  <c r="Q25" i="4"/>
  <c r="Q120" i="4"/>
  <c r="Q61" i="4" l="1"/>
  <c r="Q67" i="4"/>
  <c r="Q59" i="4"/>
  <c r="Q55" i="4"/>
  <c r="Q69" i="4"/>
  <c r="Q64" i="4"/>
  <c r="Q65" i="4"/>
  <c r="Q57" i="4"/>
  <c r="R122" i="4"/>
  <c r="V52" i="3" l="1"/>
  <c r="V50" i="3"/>
  <c r="AN48" i="3"/>
  <c r="V48" i="3"/>
  <c r="R48" i="3" s="1"/>
  <c r="Q50" i="3" s="1"/>
  <c r="V45" i="3"/>
  <c r="V44" i="3"/>
  <c r="R40" i="3" s="1"/>
  <c r="V42" i="3"/>
  <c r="V37" i="3"/>
  <c r="V36" i="3"/>
  <c r="V35" i="3"/>
  <c r="V34" i="3"/>
  <c r="V33" i="3"/>
  <c r="V32" i="3"/>
  <c r="R31" i="3" s="1"/>
  <c r="Q31" i="3" s="1"/>
  <c r="AN31" i="3"/>
  <c r="V31" i="3"/>
  <c r="R28" i="3"/>
  <c r="Q28" i="3"/>
  <c r="V26" i="3"/>
  <c r="V25" i="3"/>
  <c r="Q23" i="3" s="1"/>
  <c r="V24" i="3"/>
  <c r="V23" i="3"/>
  <c r="V22" i="3"/>
  <c r="V21" i="3"/>
  <c r="V20" i="3"/>
  <c r="V19" i="3"/>
  <c r="V18" i="3"/>
  <c r="V16" i="3"/>
  <c r="AN15" i="3"/>
  <c r="V15" i="3"/>
  <c r="R15" i="3" s="1"/>
  <c r="V14" i="3"/>
  <c r="R12" i="3" s="1"/>
  <c r="R53" i="3" s="1"/>
  <c r="AN12" i="3"/>
  <c r="Q19" i="3" l="1"/>
  <c r="Q12" i="3"/>
  <c r="Q15" i="3"/>
  <c r="Q48" i="3"/>
  <c r="V53" i="3"/>
  <c r="S67" i="2" l="1"/>
  <c r="N66" i="2"/>
  <c r="N65" i="2"/>
  <c r="N64" i="2"/>
  <c r="N63" i="2"/>
  <c r="AK62" i="2"/>
  <c r="N62" i="2"/>
  <c r="N58" i="2"/>
  <c r="AK57" i="2"/>
  <c r="N57" i="2"/>
  <c r="N55" i="2"/>
  <c r="N54" i="2"/>
  <c r="N53" i="2"/>
  <c r="AK52" i="2"/>
  <c r="N52" i="2"/>
  <c r="AK49" i="2"/>
  <c r="N49" i="2"/>
  <c r="AK47" i="2"/>
  <c r="N47" i="2"/>
  <c r="N46" i="2"/>
  <c r="N45" i="2"/>
  <c r="N44" i="2"/>
  <c r="AK42" i="2"/>
  <c r="N42" i="2"/>
  <c r="N40" i="2"/>
  <c r="N37" i="2"/>
  <c r="N35" i="2"/>
  <c r="AK33" i="2"/>
  <c r="N33" i="2"/>
  <c r="AK25" i="2"/>
  <c r="O25" i="2"/>
  <c r="N27" i="2" s="1"/>
  <c r="N24" i="2"/>
  <c r="AK22" i="2"/>
  <c r="N22" i="2"/>
  <c r="N20" i="2"/>
  <c r="AK19" i="2"/>
  <c r="N19" i="2"/>
  <c r="N17" i="2"/>
  <c r="N16" i="2"/>
  <c r="N15" i="2"/>
  <c r="N14" i="2"/>
  <c r="AK12" i="2"/>
  <c r="N12" i="2"/>
  <c r="N28" i="2" l="1"/>
  <c r="N29" i="2"/>
  <c r="N26" i="2"/>
  <c r="O67" i="2"/>
  <c r="N25" i="2"/>
  <c r="R27" i="1" l="1"/>
  <c r="V24" i="1"/>
  <c r="R22" i="1"/>
  <c r="Q25" i="1" s="1"/>
  <c r="R21" i="1"/>
  <c r="Q21" i="1"/>
  <c r="R19" i="1"/>
  <c r="Q19" i="1" s="1"/>
  <c r="V18" i="1"/>
  <c r="V27" i="1" s="1"/>
  <c r="R18" i="1"/>
  <c r="Q18" i="1"/>
  <c r="R16" i="1"/>
  <c r="Q16" i="1"/>
  <c r="Q26" i="1" l="1"/>
  <c r="Q23" i="1"/>
  <c r="Q22" i="1"/>
</calcChain>
</file>

<file path=xl/sharedStrings.xml><?xml version="1.0" encoding="utf-8"?>
<sst xmlns="http://schemas.openxmlformats.org/spreadsheetml/2006/main" count="4585" uniqueCount="2447">
  <si>
    <t>PROGRAMACION PLAN DE ACCIÓN
SECRETARIA ADMINISTRATIVA
I TRIMESTRE  2019</t>
  </si>
  <si>
    <t xml:space="preserve">CODIGO:  </t>
  </si>
  <si>
    <t>F-PLA-06</t>
  </si>
  <si>
    <t xml:space="preserve">VERSIÓN: </t>
  </si>
  <si>
    <t>06</t>
  </si>
  <si>
    <t xml:space="preserve">FECHA: </t>
  </si>
  <si>
    <t>Nov. 22 de 2017</t>
  </si>
  <si>
    <t>PÁGINA:</t>
  </si>
  <si>
    <t xml:space="preserve"> 1 de 1</t>
  </si>
  <si>
    <t xml:space="preserve">PLAN DE DESARROLLO DEPARTAMENTAL </t>
  </si>
  <si>
    <t xml:space="preserve">PROYECTO </t>
  </si>
  <si>
    <t>POBLACIÓN</t>
  </si>
  <si>
    <t>CODIGO</t>
  </si>
  <si>
    <t xml:space="preserve">ESTRATEGIA </t>
  </si>
  <si>
    <t xml:space="preserve">PROGRAMA </t>
  </si>
  <si>
    <t xml:space="preserve">SUBPROGRAMA </t>
  </si>
  <si>
    <t xml:space="preserve">META DE PRODUCTO PLAN DE DESARROLLO </t>
  </si>
  <si>
    <t xml:space="preserve">INDICADOR </t>
  </si>
  <si>
    <t>META FISICA PROGRAMADA</t>
  </si>
  <si>
    <t>IMPUTACION PRESUPUESTAL</t>
  </si>
  <si>
    <t xml:space="preserve">No </t>
  </si>
  <si>
    <t>PESO DE LA META %</t>
  </si>
  <si>
    <t xml:space="preserve">VALOR EN PESOS </t>
  </si>
  <si>
    <t xml:space="preserve">OBJETIVO GENERAL DEL PROYECTO </t>
  </si>
  <si>
    <t xml:space="preserve">OBJETIVOS ESPECIFICOS </t>
  </si>
  <si>
    <t>ACTIVIDADES CUANTIFICADAS</t>
  </si>
  <si>
    <t xml:space="preserve">FUENTE DE RECURSOS </t>
  </si>
  <si>
    <t>GENERO</t>
  </si>
  <si>
    <t>DISTRIBUCIÓN ETÁREA (EDAD)</t>
  </si>
  <si>
    <t xml:space="preserve">GRUPOS ÉTNICOS </t>
  </si>
  <si>
    <t xml:space="preserve">POBLACIÓN VULNERABLE </t>
  </si>
  <si>
    <t>TOTAL</t>
  </si>
  <si>
    <t xml:space="preserve">FECHA DE INICIO </t>
  </si>
  <si>
    <t xml:space="preserve">FECHA DE TERMINACIÓN </t>
  </si>
  <si>
    <t xml:space="preserve">RESPONSABLE </t>
  </si>
  <si>
    <t>MUJER</t>
  </si>
  <si>
    <t>HOMBRE</t>
  </si>
  <si>
    <t>Edad Escolar 
(0 - 14 años)</t>
  </si>
  <si>
    <t>Adolescencia
(15 - 19 años)</t>
  </si>
  <si>
    <t>Edad Económicamente Activa 
(20-59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</si>
  <si>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</si>
  <si>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</si>
  <si>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</si>
  <si>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</si>
  <si>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</si>
  <si>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</si>
  <si>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</si>
  <si>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</si>
  <si>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</si>
  <si>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</si>
  <si>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BUEN GOBIERNO</t>
  </si>
  <si>
    <t>GESTIÓN TERRITORIAL</t>
  </si>
  <si>
    <t>MODERNIZACIÓN TECNOLOGICA Y ADMINISTRATIVA</t>
  </si>
  <si>
    <t>Virtualizar ocho (8) trámites de la administración departamental a través de Gobierno en Línea</t>
  </si>
  <si>
    <t>Número de trámites virtualizados</t>
  </si>
  <si>
    <t>0304 - 5 - 3 1 5 28 89 17 1 - 20</t>
  </si>
  <si>
    <t>201663000-0001</t>
  </si>
  <si>
    <t>Apoyo a la estrategia de Gobierno en linea en el Departamento del Quindio</t>
  </si>
  <si>
    <t xml:space="preserve">Mejorar el acceso de los usuarios internos como externos mediante  los servicios informáticos ofrecidos por la entidad, para el grado de satisfaccion de los usuarios </t>
  </si>
  <si>
    <t>Mejorar los sistemas de información y equipos tecnológicos mediante la actualizacion y mantenimiento para aumentar los tiempos de respuesta de atención al usuario</t>
  </si>
  <si>
    <t>Sostenibilidad de la estrategia de gobierno en linea</t>
  </si>
  <si>
    <t xml:space="preserve">20
</t>
  </si>
  <si>
    <t>Recurso Ordinario</t>
  </si>
  <si>
    <t>SECRETARIA ADMINISTRATIVA
DIRECCIÓN DE TIC´S</t>
  </si>
  <si>
    <t>Compra o adquisición de Sofware</t>
  </si>
  <si>
    <t>Formular e  implementar un (1) programa de seguridad y salud en el trabajo, capacitación y bienestar social en  el departamento</t>
  </si>
  <si>
    <t>Programa de seguridad y salud formulado e implementado</t>
  </si>
  <si>
    <t>0304 - 5 - 3 1 5 28 89 17 2 - 20</t>
  </si>
  <si>
    <t>201663000-0002</t>
  </si>
  <si>
    <t>Formulación e implementación del programa de seguridad y salud en el trabajo, capacitación y bienestar social en el Departamento del Quindio</t>
  </si>
  <si>
    <t xml:space="preserve">Ejecutar el 95% del programa de seguridad y salud en el trabajo,del plan de bienestar social y el plan institucional de capacitación, formulados para la vigencia 2018.
</t>
  </si>
  <si>
    <t>Formular e implementar 1 programa de seguridad y salud en el trabajo para la Gobernación del Departamento del Quindío, para la vigencia 2018</t>
  </si>
  <si>
    <t>Desarrollo y Ejecución de actividades de Seguridad y Salud en el Trabajo, de conformidad con el Plan anual de trabajo de seguridad y salud en el trabajo aprobado</t>
  </si>
  <si>
    <t>Secretaría Administrativa
Dirección Talento Humano</t>
  </si>
  <si>
    <t>Fortalecer el programa de  infraestructura tecnológica de la  Administración Departamental (hadware, aplicativos, redes, y capacitación)</t>
  </si>
  <si>
    <t>Programa de infraestructura tecnologica de la administracion fortalecido</t>
  </si>
  <si>
    <t xml:space="preserve">0304 - 5 - 3 1 5 28 89 17 3 - 20     </t>
  </si>
  <si>
    <t>201663000-0003</t>
  </si>
  <si>
    <t>Actualización de la infraestructura tecnológica de la Gobernación del Quindío.</t>
  </si>
  <si>
    <t xml:space="preserve">Apoyar el programa de  infraestructura tecnológica de la  Administración Departamental (hadware, aplicativos, redes, y capacitación)
</t>
  </si>
  <si>
    <t>Compra o adquisicion de hardware</t>
  </si>
  <si>
    <t>Secretaría Administrativa
Dirección  TIC´S</t>
  </si>
  <si>
    <t>Incrementar la  renovación de las herramientas tecnológicas a través de outsourcing para ampliar el numero de equipos de ultima tecnología logrando una mejor atención a los usuarios</t>
  </si>
  <si>
    <t>Soporte aplicativos</t>
  </si>
  <si>
    <t xml:space="preserve">Fortalecer el programa de sostenibilidad de las  Tecnologias de la Información de las Comunicaciones de la Gobernación del Quindio </t>
  </si>
  <si>
    <t>Programa de sostenibilidad de las TIC fortalecido</t>
  </si>
  <si>
    <t>0304 - 5 - 3 1 5 28 89 17 4 - 20</t>
  </si>
  <si>
    <t>201663000-0004</t>
  </si>
  <si>
    <t>Apoyo a la sostenibilidad de las tecnologías de la información y comunicación de la Gobernación del Quindío.</t>
  </si>
  <si>
    <t>Optimizar la infraestructura informática y de comunicaciones disponible a través de actualizacion de equipos y aplicaciones para una mejor atencion al usuario</t>
  </si>
  <si>
    <t>Modernizar la infraestructura tecnológica mediante la actualizacion de herramientas tecnológicas y soporte de primer nivel; para agilizar los procesos</t>
  </si>
  <si>
    <t>Apoyo técnico y/o profesional</t>
  </si>
  <si>
    <t>Adquirir e implementar un (1) software para la sistematización de las historias laborales del Fondo Territorial de Pensiones del departamento</t>
  </si>
  <si>
    <t>Software adquirido e implementado</t>
  </si>
  <si>
    <t>201663000-0005</t>
  </si>
  <si>
    <t>Implementación de un programa  de  modernización de la gestión administrativa en el Departamento del Quindio</t>
  </si>
  <si>
    <t xml:space="preserve">Satisfacer en un 90%, las necesidades de los usuarios y partes interesadas de la entidad. 
</t>
  </si>
  <si>
    <t>Digitalizar y consultar en línea los expedientes de los pensionados, evitando la perdida de documentos</t>
  </si>
  <si>
    <t xml:space="preserve">Actualización y registro en el aplicativo de gestión documental de la información relacionada con las historias laborales del fondo territorial de pensiones </t>
  </si>
  <si>
    <t>Secretaría Administrativa
Dirección  FTP</t>
  </si>
  <si>
    <t>Implementar un programa de actualización y registro de los bienes de propiedad del departamento</t>
  </si>
  <si>
    <t>Programa de actualización y registro implementado</t>
  </si>
  <si>
    <t xml:space="preserve">0304 - 5 - 3 1 5 28 89 17 5 - 20 </t>
  </si>
  <si>
    <t>Administrar, depurar y registrar la totalidad de los bienes  de propiedad de la Gobernación del Departamento del Quindío con información real  y pertinente</t>
  </si>
  <si>
    <t>Secretaría Administrativa
Dirección Recursos Físicos
Dirección Almacén</t>
  </si>
  <si>
    <t>Realizar avalúos a los bienes inmuebles a cargo de la entidad</t>
  </si>
  <si>
    <t xml:space="preserve">Recurso Ordinario </t>
  </si>
  <si>
    <t>Implementar un (1) programa de modernización de la gestión documental en el departamento</t>
  </si>
  <si>
    <t>Programa de modernización implementado</t>
  </si>
  <si>
    <t>0304 - 5 - 3 1 5 28 89 17 5 - 46</t>
  </si>
  <si>
    <t>Cumplir las directrices definidas por la Ley General de Archivo</t>
  </si>
  <si>
    <t>Ejecutar las actividades establecidas en el Plan Institucional de Archivos PINAR</t>
  </si>
  <si>
    <t>Adquirir  un (1) bien inmueble para adelantar acciones de cara al servicio de la comunidad</t>
  </si>
  <si>
    <t>Bien inmueble adquirido</t>
  </si>
  <si>
    <t>Disponer de espacios físicos más amplios y acordes para la atención a los diferentes tipos de población que se acerca a la  entidad y así como para la debida disposición de los documentos que reposan en el archivo central evitando la perdida  y/o deterioro de los mismos.</t>
  </si>
  <si>
    <t>Adelantar acciones en el proceso de adquisición de un bien inmueble</t>
  </si>
  <si>
    <t xml:space="preserve">Recurso del Crédito </t>
  </si>
  <si>
    <t>Secretaría Administrativa
Dirección Recursos Físicos</t>
  </si>
  <si>
    <t>TOTAL :</t>
  </si>
  <si>
    <t>CATALINA GÓMEZ RESTREPO</t>
  </si>
  <si>
    <t>Secretaria Administrativa</t>
  </si>
  <si>
    <t>PROGRAMACIÓN PLAN DE ACCIÓN 
SECRETARIA DE AGRICULTURA,  DESARROLLO RURAL Y MEDIO AMBIENTE
I TRIMESTRE  2019</t>
  </si>
  <si>
    <t xml:space="preserve">F-PLA-06   </t>
  </si>
  <si>
    <t>O6</t>
  </si>
  <si>
    <t>P</t>
  </si>
  <si>
    <t>Adolescencia
 (15 - 19 años)</t>
  </si>
  <si>
    <t>Edad Económicamente Activa
(20-59 años)</t>
  </si>
  <si>
    <t>Adultos Mayores (Mayores a 60 años)</t>
  </si>
  <si>
    <t>DESARROLLO SOSTENIBLE</t>
  </si>
  <si>
    <t>Quindío territorio vital</t>
  </si>
  <si>
    <t>Generación de entornos favorables y sostenibilidad ambiental</t>
  </si>
  <si>
    <t xml:space="preserve">Implementar un (1)  Sistema de Gestión Ambiental Departamental SIGAD </t>
  </si>
  <si>
    <t>Sistema de Gestión Ambiental Departamental SIGAD implementado</t>
  </si>
  <si>
    <t>0312 - 5 - 3 1 1 1 1 10 64 - 20</t>
  </si>
  <si>
    <t>201663000-0064</t>
  </si>
  <si>
    <t xml:space="preserve">GENERACION DE ENTORNOS FAVORABLES Y SOSTENIBILIDAD AMBIENTAL PARA EL DEPARTAMENTO DEL QUINDÍO </t>
  </si>
  <si>
    <t xml:space="preserve">Mantener la oferta hídrica promedio anual  de las Unidades de Manejo de Cuenca (UMC) del departamento del Quindío, a través procesos de consevación y mantenimiento de las areas de protección ambiental y  apoyo insterinsticuional en el Departamento del Quindio </t>
  </si>
  <si>
    <t>Potencializar  el Sistema Departamental y municipal de áreas protegidas</t>
  </si>
  <si>
    <t xml:space="preserve">Realización de actividades SIGAD. </t>
  </si>
  <si>
    <t>ORDINARIO</t>
  </si>
  <si>
    <t>SECRETARIO DE DESPACHO Y JULIANA ACOSTA JARAMILLO</t>
  </si>
  <si>
    <t>Promocion y divulgacion del SIGAD.</t>
  </si>
  <si>
    <t xml:space="preserve">Apoyar cuatro (4) planes de manejo de áreas protegidas del Departamento </t>
  </si>
  <si>
    <t>Planes de manejo apoyados</t>
  </si>
  <si>
    <t>Actualización y apoyo en el fortalecimiento de  los planes de manejo de áreas protegidas del Departamento</t>
  </si>
  <si>
    <t xml:space="preserve">Apoyar el Plan Departamental  para la Gestión Integral de la Biodiversidad y sus Servicios Ecosistémicos PDGIB 2013-2024  </t>
  </si>
  <si>
    <t>Plan departamental apoyado</t>
  </si>
  <si>
    <t xml:space="preserve">Adecuadar planificación para la sostenibilidad de los recursos naturales
</t>
  </si>
  <si>
    <t>Apoyo al Plan de gestión de la biodiversidad y sus servicios ecosistemicos PDGIB</t>
  </si>
  <si>
    <t>Diseñay ejecutar una poiica Departamental de uso racional de resiudos solidos y uso eficiente de energia</t>
  </si>
  <si>
    <t>Política departamental diseñada y ejecutada</t>
  </si>
  <si>
    <t xml:space="preserve">Realizar actividades de educación en competencias de sostenibilidad  que esten encamidas a la estructuración e implementación de las politicas de residuos y energia. </t>
  </si>
  <si>
    <t xml:space="preserve">Apoyar a los doce (12) municipios en las acciones de control y vigilancia de la explotación minera en coordinación con la autoridad ambiental </t>
  </si>
  <si>
    <t>Número de municipios en acciones de control y vigilancia de la explotación minera apoyados</t>
  </si>
  <si>
    <t xml:space="preserve">Acompañamiento a los municipios en las acciones de control y vigilancia de la explotación minera en coordinación con la autoridad ambiental </t>
  </si>
  <si>
    <t>Manejo integral del agua y saneamiento básico</t>
  </si>
  <si>
    <t xml:space="preserve">Crear e implementar el Fondo del Agua del departamento del Quindío </t>
  </si>
  <si>
    <t>Fondo del Agua creado e implementado</t>
  </si>
  <si>
    <t>0312 - 5 - 3 1 1 1 2 10 67 -20</t>
  </si>
  <si>
    <t>201663000-0067</t>
  </si>
  <si>
    <t>GESTIÓN INTEGRAL DE CUENCAS HIDROGRÁFICAS EN EL DEPARTAMENTO DEL QUINDÍO</t>
  </si>
  <si>
    <t xml:space="preserve">Mantener  de la oferta hídrica promedio anual  de las Unidades de Manejo de Cuenca (UMC) del departamento del Quindío </t>
  </si>
  <si>
    <t>Realizar y coordinar acciones de  recuperación y mantenimiento del recursos hídrico</t>
  </si>
  <si>
    <t xml:space="preserve">Implementar el Fondo del Agua del departamento del Quindío  </t>
  </si>
  <si>
    <t>Caracterizar los servicios ecosistémicos en 6 cuencas de abastecimientode los acueductos municipales con sus correspondientes acciones de mejoramiento</t>
  </si>
  <si>
    <t>Número de cuencas con servicios ecosistémicos caracterizados</t>
  </si>
  <si>
    <t>Elaboracion de inventario de servicios ecosistemicos y diagnostico de los componentes de flora, fauna y recursos hidricos de 2 cuencas hidrograficas</t>
  </si>
  <si>
    <t>Bienes y servicios ambientales para las nuevas generaciones</t>
  </si>
  <si>
    <t>Conservar Y Restaurar Seis (2) Áreas De Importancia Estratégica Para El Recurso Hídrico Del Departamento</t>
  </si>
  <si>
    <t>Áreas conservadas y restauradas</t>
  </si>
  <si>
    <t>0312 - 5 - 3 1 1 1 3 10 68 - 20</t>
  </si>
  <si>
    <t>201663000-0068</t>
  </si>
  <si>
    <t>APLICACIÓN DE MECANISMOS DE PROTECCIÓN AMBIENTAL EN EL DEPARTAMENTO DEL QUINDIO</t>
  </si>
  <si>
    <t xml:space="preserve">Mantener  de la oferta hídrica promedio anual  de las Unidades de Manejo de Cuenca (UMC) del departamento del Quindío 
</t>
  </si>
  <si>
    <t>Vigilancia, control y seguimiento a las áreas de protección</t>
  </si>
  <si>
    <t>RECURSO ORDINARIO</t>
  </si>
  <si>
    <t>Recuperación y mantenimiento de  las  zonas deterioradas en las áreas de protección.</t>
  </si>
  <si>
    <t>Adquirir Doscientos Setenta (270) Ha Para Áreas De Conservación En Predios De Importancia Estratégica Para El Recurso Hídrico Del Departamento Del Quindío</t>
  </si>
  <si>
    <t>Áreas De Conservación En Predios De Importancia Estratégica Adquiridas</t>
  </si>
  <si>
    <t>Adquirir doscientos setenta (270) ha para áreas de conservación en predios de importancia estratégica para el recurso hídrico del departamento del Quindío</t>
  </si>
  <si>
    <t>Conservar Para La Sostenibilidad Ambiental Dos (2) Cuencas De Los Municipios Con Declaratoria De Paisaje Cultural Cafetero Pcc</t>
  </si>
  <si>
    <t>Número de cuencas conservadas</t>
  </si>
  <si>
    <t>0312 - 5 - 3 1 1 1 3 10 69 - 20</t>
  </si>
  <si>
    <t>201663000-0069</t>
  </si>
  <si>
    <t>FORTALECIMIENTO Y POTENCIALIZACIÓN DE LOS SERVICIOS ECOSISTÉMICOS EN EL DEPARTAMENTO DEL QUINDIO</t>
  </si>
  <si>
    <t xml:space="preserve">Disminuir en la presión por cargas contaminantes, medida por el Índice de Alteración Potencial de la Calidad del Agua </t>
  </si>
  <si>
    <t xml:space="preserve">Mejorar en la calidad del agua en los sistemas hídricos  </t>
  </si>
  <si>
    <t>Intervenir en herramientas del PCC las cuencas de los municipios con declaratoria de paisaje cultural cafetero</t>
  </si>
  <si>
    <t>Promover La Creación Y Adopción  En Los Doce (12) Municipios Del Departamento, De Herramientas Para El Estímulo De Incentivos A La Conservación</t>
  </si>
  <si>
    <t>Número de municipios con acciones de incentivos a la conservación promovidas</t>
  </si>
  <si>
    <t xml:space="preserve">Promover los incentivos a la conservación con la normativa vigente  </t>
  </si>
  <si>
    <t>Restaurar Con Obras De Bioingeniería Veinte (20) Ha En Áreas O Zonas Críticas De Riesgo.</t>
  </si>
  <si>
    <t xml:space="preserve">Número de hectáreas restauradas </t>
  </si>
  <si>
    <t>Poner en marcha obras de bioingenieria</t>
  </si>
  <si>
    <t>Desarrollar Treinta Y Un (31) Estrategias De Educación Ambiental  En Los Espacios Participativos, Comunitarios Y Educativos Del Departamento</t>
  </si>
  <si>
    <t>Número de estrategias de educación desarrolladas</t>
  </si>
  <si>
    <t xml:space="preserve">Desarrollar estrategias de educación ambiental para el desarrollo sostenible </t>
  </si>
  <si>
    <t>Capacitar A 250 Jóvenes, Mujeres, Población Vulnerable Y Con Enfoque Diferencial Como Lideres De Educación Ambiental En El Departamento</t>
  </si>
  <si>
    <t>Número de  jóvenes,  mujeres, población vulnerable y con enfoque diferencial capacitados</t>
  </si>
  <si>
    <t>Formar multiplicadores ambientales para el desarrollo sostenible</t>
  </si>
  <si>
    <t>PROSPERIDAD CON EQUIDAD</t>
  </si>
  <si>
    <t>Quindío rural, inteligente, competitivo y empresarial</t>
  </si>
  <si>
    <t>Innovación para una caficultura sostenible en el departamento del Quindío</t>
  </si>
  <si>
    <t>Capacitar a cuatrocientos (400) caficultores del departamento en producción limpia y sostenible con producción de café con taza limpia, catación, tostión y barismo</t>
  </si>
  <si>
    <t>Número de caficultores capacitados</t>
  </si>
  <si>
    <t>0312 - 5 - 3 1 2 2 4 13 72 - 20</t>
  </si>
  <si>
    <t>201663000-0072</t>
  </si>
  <si>
    <t xml:space="preserve">FORTALECIMIENTO E INNOVACIÓN EMPRESARIAL DE LA CAFICULTURA EN EL DEPARTAMENTO DEL QUINDIO </t>
  </si>
  <si>
    <t xml:space="preserve">Generar las condiciones adecuadas para aumetar del crecimiento del PIB del departamento  del Quindio frente al PIB Nacional  a travez de la participacion en ruedas de negocios y eventos especializados para acceder a mercados internacionales por parte del sector empresarial rural.
</t>
  </si>
  <si>
    <t>Cadena productiva del café sin valos agregado</t>
  </si>
  <si>
    <t>Capacitar A Caficultores  En Buenas Prácticas Agrícolas Sostenible Y Aseguramiento De La Calidad De Café</t>
  </si>
  <si>
    <t>SECRETARIO DE DESPACHO Y MAURICIO RUIZ HAMBRA</t>
  </si>
  <si>
    <t>Capacitar A Caficultores En Catación, Tostión Y Barísmo</t>
  </si>
  <si>
    <t>Crear (6) seis grupos multiplicadores de conocimiento en emprendimiento y calidad del café  para jóvenes y mujeres rurales, campesinas y cafeteras</t>
  </si>
  <si>
    <t>Número de grupos multiplicadores creados</t>
  </si>
  <si>
    <t>Fortalecimiento A Asociaciones De Café De Jóvenes Y Mujeres Rurales En Buenas Prácticas Agrícolas Y Aseguramiento De La Calidad Del Café A Traves De Asistencia Técnica Y Talleres</t>
  </si>
  <si>
    <t xml:space="preserve">Capacitación  A Jóvenes Y Mujeres Rurales En Asociatividad, Emprendimiento,  En Mejoramiento Y Aseguramiento De La Calidad  </t>
  </si>
  <si>
    <t xml:space="preserve"> Crear (1) portafolio de café origen Quindío a través de la valoración de 6000 predios</t>
  </si>
  <si>
    <t>Portafolio de café origen Quindío creado</t>
  </si>
  <si>
    <t>Bajo  nivel de conocimiento de los productores en producción limpia y sostenible con énfasis en calidad sensorial del café</t>
  </si>
  <si>
    <t>Visitas De Asistencia Técnicas De Caracterización A Predios Productores De Café Del Departamento Del Quindío</t>
  </si>
  <si>
    <t>Toma De Muestras De Café Y Análisis De Catación Y Perfilación A Través De Convenios Interadministrativos Y/O Interinstitucionales</t>
  </si>
  <si>
    <t>Promoción Y Divulgación Del Portafolio De Café Origen Quindío</t>
  </si>
  <si>
    <t>Formalizar (1) un convenio interinstitucional para la inserción de los cafés de origen Quindío en los mercados nacionales e internacionales</t>
  </si>
  <si>
    <t>Convenio interinstitucional formalizado</t>
  </si>
  <si>
    <t>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</si>
  <si>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</si>
  <si>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</si>
  <si>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Núcleos de asistencia creados e implementados</t>
  </si>
  <si>
    <t>0312 - 5 - 3 1 2 2 5 8 176 - 20
0312 - 5 - 3 1 2 2 5 8 176 - 46</t>
  </si>
  <si>
    <t>201663000-0176</t>
  </si>
  <si>
    <t>CREACIÓN E IMPLEMENTACIÓN DE LOS CENTROS AGROINDUSTRIALES REGIONALES PARA LA PAZ"CARPAZ" EN EL DEPARTAMENTO DEL QUINDIO</t>
  </si>
  <si>
    <t xml:space="preserve">Equiparar el crecimiento del PIB del departamento del Quindío al PIB nacional
</t>
  </si>
  <si>
    <t>Mejorar  la productividad primaria agropecuaria</t>
  </si>
  <si>
    <t>Crear Un Núcleo De Asistencia Agrícola</t>
  </si>
  <si>
    <t>Crear Un Núcleo De Asistencia Pecuaria</t>
  </si>
  <si>
    <t>Apoyar cinco (5) sectores productivos agropecuarios del departamento en métodos de mercadeo que propicien innovación en los aspectos comerciales de los productos del Quindío</t>
  </si>
  <si>
    <t>Sectores productivos apoyados</t>
  </si>
  <si>
    <t>Realizar Eventos De Educomunicación (Agrícola Y Pecuario)</t>
  </si>
  <si>
    <t>Crear  seis (6) centros logísticos  para la transformación agroindustrial - CARPAZ</t>
  </si>
  <si>
    <t>Centros logísticos creados</t>
  </si>
  <si>
    <t>Articular la demanda existente y la oferta efectiva</t>
  </si>
  <si>
    <t>Crear Centros Logísticos Agroindustriales</t>
  </si>
  <si>
    <t>RECURSO DEL CREDITO</t>
  </si>
  <si>
    <t>Capacitar seis (6) unidades agro empresariales de jóvenes y mujeres rurales</t>
  </si>
  <si>
    <t>Unidades agro empresariales capacitadas</t>
  </si>
  <si>
    <t>Brindar un sistema eficiente de prestación de servicios públicos</t>
  </si>
  <si>
    <t>Capacitación En Estrategias De Mercadeo A Diferentes   Grupos Asociativos De Productores Agrícolas Y Agroindustriales</t>
  </si>
  <si>
    <t>Crear E Implementar El Fondo De Financiamiento De Desarrollo Rural Fider</t>
  </si>
  <si>
    <t>Fondo de financiamiento creado e implementado</t>
  </si>
  <si>
    <t>0312 - 5 - 3 1 2 2 5 8 177 - 20</t>
  </si>
  <si>
    <t>201663000-0177</t>
  </si>
  <si>
    <t>CREACION E IMPLEMENTACION DEL FONDO DE FINANCIAMIENTO DE DESARROLLO RURAL - FIDER</t>
  </si>
  <si>
    <t>Mejoramiento de las condiciones de acceso al financiamiento de los productores agropecuarios, mediante la creacion de un fondo financiero para el desarrollo rural en el departamento del Quindío</t>
  </si>
  <si>
    <t>Generación de procesos de  apoyo financiero de facil acceso para desarrolo del sector productivo rural.</t>
  </si>
  <si>
    <t>Asistencia Técnica En La Creación Y Elaboración De Un Fondo De Financiamiento Para El Desarrollo Rural</t>
  </si>
  <si>
    <t>SECRETARIO DE DESPACHO Y ANA MARIA CARDONA VALDEZ</t>
  </si>
  <si>
    <t>Financiamiento Al Pequeño Productor Rural</t>
  </si>
  <si>
    <t>Reactivar un instrumento de prevención por eventos naturales para productos agrícolas.</t>
  </si>
  <si>
    <t>Instrumento de prevención por eventos naturales para productos agrícolas reactivado</t>
  </si>
  <si>
    <t>0312 - 5 - 3 1 2 2 5 8 175 - 20</t>
  </si>
  <si>
    <t>2016663000-0175</t>
  </si>
  <si>
    <t>IMPLEMENTACIÓN DE UN INSTRUMENTO PARA LA PREVENCIÓN DE EVENTOS NATURALES PRODUCTOS AGRICOLAS EN E DEPARTAMENTO DEL QUINDÍO</t>
  </si>
  <si>
    <t>Mejoramiento En El Rendimiento Productivo, Mediante Estrategias De Mitigación, Para Contrarrestar Eventos Y Riesgos Naturales En El Sector Agropecuario</t>
  </si>
  <si>
    <t xml:space="preserve">Fortalecimiento de los  programas de prevención en el sector rural, para mejorar la capacidad de respuesta ante posibles eventos y riesgos naturales </t>
  </si>
  <si>
    <t>Acompañamiento Técnico Y Promoción De El Plan Integral De Gestión De Cambio Climático Como Instrumento  Prevención  Y Adaptación En Eventos Climáticos</t>
  </si>
  <si>
    <t xml:space="preserve">Generación de espacios de articulación institucional en apoyo de asistencia técnica rural ante eventos y riesgos naturales  </t>
  </si>
  <si>
    <t>Emprendimiento y empleo rural</t>
  </si>
  <si>
    <t>Apoyo En La Formalización De Empresas En (4)  Sectores Productivos Agropecuarios Del Departamento</t>
  </si>
  <si>
    <t>Número de sectores productivos apoyados</t>
  </si>
  <si>
    <t>0312 - 5 - 3 1 2 2 6 13 75 - 20</t>
  </si>
  <si>
    <t>201663000-0075</t>
  </si>
  <si>
    <t xml:space="preserve">FOMENTO AL EMPRENDIMIENTO Y  AL EMPLEO RURAL EN EL DEPARTAMENTO DEL QUINDÍO  </t>
  </si>
  <si>
    <t xml:space="preserve">Aumetar crecimiento del PIB del departamento  del Quindio a frente al PIB Nacional </t>
  </si>
  <si>
    <t xml:space="preserve">Apoyar la formalización de empresas en los sectores productivos  del departamenato, a tarvés de la identificación , analisis y priorización  de los  potenciales empredimientos  rurales, con el fin de contribuir a generar condiciones para  aumentar   producto interno bruto  el departamento   durante la vigencia 2016 </t>
  </si>
  <si>
    <t>Apoyo En La Formalización De Empresas En Los Sectores Productivos</t>
  </si>
  <si>
    <t>Generar Un Apalancamiento A 100 Iniciativas Rurales</t>
  </si>
  <si>
    <t>Número de iniciativas productivas apalancadas</t>
  </si>
  <si>
    <t xml:space="preserve">Realizar apálacamiento a las iniciativas productivas rurales, a través  de  procesos de acompañamiento  a la consolidación de  ideas de negocio e  implementación de garantias complementarias para el facilitar el acceso a la diferentes fuentes financiación con el fin de contribuir a generar condiciones para  aumentar   producto interno bruto  el departamento   durante la vigencia 2016 , 
</t>
  </si>
  <si>
    <t>Identificación Y Caracterización De Las Nuevas Iniciativas Productivas Rurales</t>
  </si>
  <si>
    <t>Capacitar A (1.200) Jóvenes Y Mujeres Rurales En Actividades  Agrícolas Y No Agrícolas</t>
  </si>
  <si>
    <t>Número de jóvenes y mujeres rurales capacitados</t>
  </si>
  <si>
    <t xml:space="preserve">Capacitar a jóvenes y mujeres en actividadeas agricolas y no agricolas con procesois de seguimiento y evaluación  en la generación de ideas y/o consolidación de negocios con el fin de contribuir a generar condiciones para  aumentar   producto interno bruto  el departamento   durante la vigencia 2016 </t>
  </si>
  <si>
    <t>Capacitación A Jóvenes Y Mujeres Rurales En Actividades Agrícolas Y No Agrícolas</t>
  </si>
  <si>
    <t>Beneficiar A 2.400 Mujeres Rurales Campesinas, Personas En Condición De Vulnerabilidad Y Con Enfoque Diferencial En Formación Para El Trabajo Y Desarrollo Humano</t>
  </si>
  <si>
    <t>Número de mujeres rurales campesinas, personas en condición de vulnerabilidad y con enfoque diferencial beneficiados</t>
  </si>
  <si>
    <t>Formación Para El Trabajo Y El Desarrollo Humano</t>
  </si>
  <si>
    <t>Impulso a la competitividad productiva y empresarial del sector Rural</t>
  </si>
  <si>
    <t>Apoyar a 5 Sectores Productivos Del Departamento En Ruedas De Negocio</t>
  </si>
  <si>
    <t>0312 - 5 - 3 1 2 2 7 13 78 - 20</t>
  </si>
  <si>
    <t>201663000-0078</t>
  </si>
  <si>
    <t>FORTALECIMIENTO A LA COMPETITIVIDAD PRODUCTIVA Y EMPRESARIAL DEL SECTOR RURAL EN EL DEPARTAMENTO DEL QUINDIO</t>
  </si>
  <si>
    <t>Crecimiento del PIB del departamento  del Quindio frente al PIB Nacional</t>
  </si>
  <si>
    <t xml:space="preserve">Conocimiento de metodos no tradicionales de comercialización </t>
  </si>
  <si>
    <t>Impulsar la competitivdad productiva y empresarial  mediante ruedas de negocio</t>
  </si>
  <si>
    <t>Diseñar e implementar (1) un instrumento de planificación e información rural para la comercialización de productos transables</t>
  </si>
  <si>
    <t>Instrumento de planificación e información diseñado e implementado</t>
  </si>
  <si>
    <t xml:space="preserve">Aumentar la  divulgacion de eventos especializados para acceder a mercados internacionales
</t>
  </si>
  <si>
    <t>Puesta en marcha de los instrumentos de planificación e información rural</t>
  </si>
  <si>
    <t>INCLUSION SOCIAL</t>
  </si>
  <si>
    <t>Soberanía, seguridad alimentaria y nutricional</t>
  </si>
  <si>
    <t>Fomento a la Agricultura Familiar Campesina, agricultura urbana y mercados campesinos para la soberanía y  Seguridad alimentaria</t>
  </si>
  <si>
    <t>Diseñar E Implementar El Programa De Agricultura Familiar Y Campesina</t>
  </si>
  <si>
    <t>Programa de agricultura familiar campesina diseñado e implementado</t>
  </si>
  <si>
    <t>0312 - 5 - 3 1 3 11 34 8 79 - 20</t>
  </si>
  <si>
    <t>201663000-0079</t>
  </si>
  <si>
    <t>FOMENTO A LA AGRICULTURA FAMILIAR CAMPESINA, AGRICULTURA URBANA Y MERCADOS CAMPESINOS PARA LA SOBERANÍA Y SEGURIDAD ALIMENTARIA</t>
  </si>
  <si>
    <t xml:space="preserve">Aumentar La Producción De Frutas Y Verduras Para El Autoconsumo Del Departamento Del Quindío A Través De La Implementación De Un Sistema De Parcelas Campesinas Y Comercio De Excedentes </t>
  </si>
  <si>
    <t>Diseñar e implementar un (1) programa de agricultura familiar campesina</t>
  </si>
  <si>
    <t>Asistencia Técnica A Beneficiarios Del Programa Soberanía Y Seguridad Alimentaria Y Nutricional</t>
  </si>
  <si>
    <t>Apoyar La Conformación De Cuatro Alianzas Para Contratos De Compra Anticipada De Productos De La Agricultura Familiar En El Departamento Del Quindío</t>
  </si>
  <si>
    <t>Numero de alianzas para contratos de compra anticipada apoyados</t>
  </si>
  <si>
    <t>Apoyar la conformación de cuatro (4) alianzas para contratos de compra anticipada de productos de la agricultura familiar en el departamento del Quindío</t>
  </si>
  <si>
    <t>Acompañamiento Y Asistencia Técnica A Productores Agropecuarios En La Productividad Primaria Y Alistamiento De La Oferta, Permitiendo Así El Aseguramiento De La Cadena Agroalimentaria En La Productividad Primaria</t>
  </si>
  <si>
    <t>Sembrar Quinientas (500) Ha De Productos De La Canasta Básica Familiar Para Aumentar La Disponibilidad De Alimentos</t>
  </si>
  <si>
    <t>Número de hectáreas sembradas</t>
  </si>
  <si>
    <t>Sembrar 150 Ha De Productos De La Canasta Básica Familiar</t>
  </si>
  <si>
    <t>Beneficiar A 2.400 Familias Urbanas Y Periurbanas Con Parcelas De Agricultura Familiar Para Autoconsumo Y Comercio De Excedentes</t>
  </si>
  <si>
    <t>Numero de familias beneficiadas</t>
  </si>
  <si>
    <t>Beneficiar a 2400 familias urbanas y periurbanas con parcelas de agricultura familiar para autoconsumo y comercio de excedentes</t>
  </si>
  <si>
    <t>Acompañamiento A Familias Urbanas Y Periurbanas En El Establecimiento De Parcelas De Agricultura Familiar</t>
  </si>
  <si>
    <t>Mejorar El Estado Nutricional De 1795 Niños Menor De 5 Años Y De 1531 Niños De 6 A 18 Años  En Riesgo De Desnutrición En El Departamento</t>
  </si>
  <si>
    <t>Numero de población infantil en riesgo con estado nutricional de 0 a 5 años y de 6 a 18 años mejorado</t>
  </si>
  <si>
    <t>Mejorar el estado nutricional de 1795 niños menor de 5 años y de 1531 niños de 6 a 18 años  en riesgo de desnutrición en el departamento</t>
  </si>
  <si>
    <t>Talleres De Capacitación En El Mejoramiento De La Dieta Alimenticia A Partir De Productos De La Canasta Básica Familiar</t>
  </si>
  <si>
    <t>TOTALES</t>
  </si>
  <si>
    <t>CARLOS ALBERTO SOTO RAVE</t>
  </si>
  <si>
    <t>Secretario de Agricultura, medio Ambiente y Desarrollo Rural</t>
  </si>
  <si>
    <t>PROGRAMACION PLAN DE ACCIÓN
SECRETARIA DE CULTURA
I TRIMESTRE 2019</t>
  </si>
  <si>
    <t>01 de 1</t>
  </si>
  <si>
    <t xml:space="preserve">HOMBRE </t>
  </si>
  <si>
    <t>Mestiza</t>
  </si>
  <si>
    <t>Victimas</t>
  </si>
  <si>
    <t>Inclusion Social</t>
  </si>
  <si>
    <t>Educacion Para la Paz</t>
  </si>
  <si>
    <t>Arte para todos</t>
  </si>
  <si>
    <t xml:space="preserve">Apoyar treinta (30) proyectos y/o actividades de formacion,difusion, circulacion, creacion e investigacion, planeacion y de espacios para el disdfrute de las artes </t>
  </si>
  <si>
    <t>Nro. de artistas y gestores en base de datos  / Cantidad de artistas y gestores incluidos en seguridad social</t>
  </si>
  <si>
    <t>0310 - 5 - 3 1 3 9 29 5 45 - 33
0310 - 5 - 3 1 3 9 29 5 45 - 83</t>
  </si>
  <si>
    <t>201663000-0045</t>
  </si>
  <si>
    <t xml:space="preserve">Apoyo a seguridad social del creador y gestor cultural del Departamento del Quindio </t>
  </si>
  <si>
    <t xml:space="preserve">Garantizar de seguridad social integral a gestores culturales y artistas </t>
  </si>
  <si>
    <t xml:space="preserve">Garantizar la seguridad social  para artistas y gestores culturales </t>
  </si>
  <si>
    <t xml:space="preserve">Reconocimiento de la calidad de artista y gestor cultural por el consejo Departamental de cultura </t>
  </si>
  <si>
    <t>Estampilla Procultura 10% Seguridad Social</t>
  </si>
  <si>
    <t>James Gonzalez Mata
Secretaria de Cultura</t>
  </si>
  <si>
    <t>Superávit Estampilla Procultura 10% Seguridad Social</t>
  </si>
  <si>
    <t xml:space="preserve">Aportes para la seguridad social de artistas reconocidos por el consejo Departamental de Cultura </t>
  </si>
  <si>
    <t>Apoyar  treinta (30) proyectos y/o actividades de formación, difusión, circulación, creación e investigación, planeación y de espacios para el disfrute de las artes</t>
  </si>
  <si>
    <t>Nro de proyectos o actividades programdas  /  Proyectos o actividades ejecutados</t>
  </si>
  <si>
    <t xml:space="preserve">
0310 - 5 - 3 1 3 9 29 5 46 - 88
0310 - 5 - 3 1 3 9 29 5 46 - 20
0310 - 5 - 3 1 3 9 29 5 46 - 39
0310 - 5 - 3 1 3 9 29 5 46 - 41
0310 - 5 - 3 1 3 9 29 5 46 - 83</t>
  </si>
  <si>
    <t>201663000-0046</t>
  </si>
  <si>
    <t>Apoyo al arte y la cultura en todo el Departamento del Quindío</t>
  </si>
  <si>
    <t>Fortalecimiento en los procesos culturales y artísticos para mejorar la calidad, la creatividad, la difusión y el reconocimiento de la diversidad y la diferencia en el departamento</t>
  </si>
  <si>
    <t xml:space="preserve"> Ampliación de las oportunidades de acceso de la ciudadania al arte y la cultura </t>
  </si>
  <si>
    <t>Escuelas de formación</t>
  </si>
  <si>
    <t xml:space="preserve"> Difusión y Circulación Artística</t>
  </si>
  <si>
    <t xml:space="preserve">Recurso Ordinario
</t>
  </si>
  <si>
    <t>Superavit Ordinario</t>
  </si>
  <si>
    <t>Apoyo técnico y logístico</t>
  </si>
  <si>
    <t xml:space="preserve">Recurso Ordinario
</t>
  </si>
  <si>
    <t>Apoyar  ciento veinte (120) proyectos del programa de concertación cultural del departamento</t>
  </si>
  <si>
    <t>Alta concertación de proyectos con la institucionalidad cultural</t>
  </si>
  <si>
    <t>Convocatoria y apoyo logístico</t>
  </si>
  <si>
    <t>Estampilla Procultura 50% Concertación</t>
  </si>
  <si>
    <t xml:space="preserve">Evaluación y Seguimiento </t>
  </si>
  <si>
    <t>Cofinanciación de proyectos</t>
  </si>
  <si>
    <t>Superavit E.P.C</t>
  </si>
  <si>
    <t>Apoyar treinta y seis (36) proyectos mediante estímulos artísticos y culturales</t>
  </si>
  <si>
    <t>Mayor apoyo a la creación investigación y producción artistica</t>
  </si>
  <si>
    <t>Estampilla Procultura 10% Estímulos</t>
  </si>
  <si>
    <t xml:space="preserve"> Evaluación y Seguimiento </t>
  </si>
  <si>
    <t xml:space="preserve">Estampilla Procultura 10% EStímulos
</t>
  </si>
  <si>
    <t xml:space="preserve">Emprendimiento Cultural </t>
  </si>
  <si>
    <t>Fortalecer cinco (5) procesos de emprendimiento cultural y de desarrollo de industrias creativas</t>
  </si>
  <si>
    <t>0310 - 5 - 3 1 3 9 30 5 47 - 20</t>
  </si>
  <si>
    <t>201663000-0047</t>
  </si>
  <si>
    <t xml:space="preserve">Fortalecimiento y promoción del  emprendimiento cultural y las industrias creativas en el Departamento </t>
  </si>
  <si>
    <t xml:space="preserve">Disminución en la tasa de desempleo del departamento </t>
  </si>
  <si>
    <t>Fortalecimiento de los  procesos de emprendimiento cultural y de desarrollo de industrias creativas en el departamento</t>
  </si>
  <si>
    <t>Identificación y apoyo económico a organizaciones con proyectos de emprendimiento cultural</t>
  </si>
  <si>
    <t xml:space="preserve"> Seguimiento y evaluación del proceso de apoyo a emprendedores</t>
  </si>
  <si>
    <t>Lectura, escritura y bibliotecas</t>
  </si>
  <si>
    <t>Apoyar  veinte (20) proyectos y/o actividades en investigación, capacitación y difusión de la lectura y escritura para fortalecer la Red Departamental de Bibliotecas</t>
  </si>
  <si>
    <t>0310 - 5 - 3 1 3 9 31 5 48 - 34
0310 - 5 - 3 1 3 9 31 5 48 - 83 
0310 - 5 - 3 1 3 9 31 5 48 - 56</t>
  </si>
  <si>
    <t>201663000-0048</t>
  </si>
  <si>
    <t>Fortalecimiento al  Plan Departamental  de lectura, escritura y bibliotecas en el Departamento del Quindio .</t>
  </si>
  <si>
    <t xml:space="preserve">Disminuir la proporción de niños que desertan en educación básica secundaria y media   </t>
  </si>
  <si>
    <t>Aprovechamiento de la Red Departamental de Bibliotecas Públicas para la formación en lectura y escritura</t>
  </si>
  <si>
    <t>Realización de procesos formativos para promotores de lectura y escritura</t>
  </si>
  <si>
    <t>Estampilla Procultura 10% Bibliotecas</t>
  </si>
  <si>
    <t>Encuentros para el intercambio, formación y retroalimentación de la Red de Bibliotecas</t>
  </si>
  <si>
    <t xml:space="preserve">Coordinación de actividades para el fortalecimiento de la Red </t>
  </si>
  <si>
    <t>Coordinación de actividades para el fortalecimiento de la Red según aceptacion de ayuda economica en el programa iberoamericano de bibliotecas publicas, VI convocatoria de ayudas 2018</t>
  </si>
  <si>
    <t>Superávit Cofinanciación Nacional</t>
  </si>
  <si>
    <t xml:space="preserve">Ampliación de espacios y acciones para la difusión de la lectura y escritura </t>
  </si>
  <si>
    <t>Apoyo al proyecto editorial Biblioteca de Autores Quindianos</t>
  </si>
  <si>
    <t xml:space="preserve">Estampilla Procultura 10% Bibliotecas
</t>
  </si>
  <si>
    <t>Superavit Estampilla Procultura</t>
  </si>
  <si>
    <t>Apoyo a actividades de difusión, promoción y circulación literaria</t>
  </si>
  <si>
    <t>Patrimonio, paisaje cultural cafetero, ciudadanía y diversidad cultural</t>
  </si>
  <si>
    <t>Viviendo el patrimonio y el Paisaje Cultural Cafetero</t>
  </si>
  <si>
    <t xml:space="preserve">Apoyar treinta y dos (32) proyectos y/o actividades en gestión, investigación,  protección, divulgación y salvaguardia del patrimonio y diversidad cultural </t>
  </si>
  <si>
    <t>0310 - 5 - 3 1 3 10 32 5 49 - 20
0310 - 5 - 3 1 3 10 32 5 49 - 47
0310 - 5 - 3 1 3 10 32 5 49 - 93</t>
  </si>
  <si>
    <t>201663000-0049</t>
  </si>
  <si>
    <t>Apoyo al reconocimiento, apropiación, salvaguardia y difusión del patrimonio cultural en todo el Departamento del Quindío.</t>
  </si>
  <si>
    <t xml:space="preserve">Alta valoracion, apropiacion y salvaguardia del patrimonio cultural material e inmaterial </t>
  </si>
  <si>
    <t>Programas departamentales para conservación, protección, salvaguardia y difusión del Patrimonio Cultural</t>
  </si>
  <si>
    <t>Difusión y salvaguardia del patrimonio cultural</t>
  </si>
  <si>
    <t>IVA Telefonia movil Cultura</t>
  </si>
  <si>
    <t>Recurso Ordinaro</t>
  </si>
  <si>
    <t>Superavit IVA Telefonia movil Cultura</t>
  </si>
  <si>
    <t>Investigaciones</t>
  </si>
  <si>
    <t>Apoyo a procesos, evaluación y seguimiento</t>
  </si>
  <si>
    <t>Mayor reconocimiento y valoración de la diversidad poblacional presente en el Quindío</t>
  </si>
  <si>
    <t>Apoyo a  proyectos y/o actividades de poblaciones especiales</t>
  </si>
  <si>
    <t xml:space="preserve">IVA Telefonia movil Cultura     
</t>
  </si>
  <si>
    <t xml:space="preserve">Apoyar diez (10) proyectos y/o actividades orientados a fortalecer la articulación comunicación y cultura </t>
  </si>
  <si>
    <t>0310 - 5 - 3 1 3 10 33 5 50 - 20
0310 - 5 - 3 1 3 10 33 5 50 - 88</t>
  </si>
  <si>
    <t>201663000-0050</t>
  </si>
  <si>
    <t>Fortalecimiento de la comunicación, la ciudadanía  y el sistema departamental de cultura  en el Quindio.</t>
  </si>
  <si>
    <t xml:space="preserve">Incremento en iniciativas que integren comunicación y cultura que contribuyan fortalecimiento del Sistema Departamental de Cultura  </t>
  </si>
  <si>
    <t>Mayor articulación entre la institucionalidad cultural y los gestores culturales para ampliar el acceso a la cultura y las artes.</t>
  </si>
  <si>
    <t>Apoyo a medios ciudadanos y comunitarios</t>
  </si>
  <si>
    <t>Apoyar  dieciséis (16) actividades y/o proyectos  para el afianzamiento del Sistema Departamental de Cultura</t>
  </si>
  <si>
    <t>Participación y  apoyo por parte de la Gobernación del Quindío a medios ciudadanos, comunitarios y de interés público</t>
  </si>
  <si>
    <t>Fortalecimiento del Sistema de Información Cultural</t>
  </si>
  <si>
    <t>Apoyo a Consejos de las artes y la cultura</t>
  </si>
  <si>
    <t>JAMES GONZALEZ MATA</t>
  </si>
  <si>
    <t xml:space="preserve"> SECRETARIO DE CULTURA</t>
  </si>
  <si>
    <t>PROGRAMACION PLAN DE ACCIÓN
SECRETARIA DE EDUCACION
I TRIMESTRE  2019</t>
  </si>
  <si>
    <t>PRESUPUESTADO</t>
  </si>
  <si>
    <t>Edad Económicamente 
Activa (20-59 años)</t>
  </si>
  <si>
    <t>Cobertura Educativa</t>
  </si>
  <si>
    <t>Acceso y Pemanencia</t>
  </si>
  <si>
    <t>Implementar un (1) plan, programa y/o proyecto para el acceso de niños, niñas y jóvenes en las instituciones educativas</t>
  </si>
  <si>
    <t>Número de planes, programas y/o proyectos implementados</t>
  </si>
  <si>
    <t>0314 - 5 - 3 1 3 5 16 1 84 - 20
0314 - 5 - 3 1 3 5 16 1 84 - 35
1404 - 5 - 3 1 3 5 16 1 84 - 81
0314 - 5 - 3 1 3 5 16 1 84 - 91
0314 - 5 - 3 1 3 5 16 1 84 - 88
1404 - 5 - 3 1 3 5 16 1 84 - 137</t>
  </si>
  <si>
    <t>201663000-0084</t>
  </si>
  <si>
    <t xml:space="preserve">Fortalecimiento de las estrategias para el acceso,  permanencia y seguridad  de los niños, niñas y jóvenes en el  sistema  educativo del Departamento del Quindio. </t>
  </si>
  <si>
    <t xml:space="preserve"> Bajar  los indices de deserciòn escolar en el Deprtamento del Quindío</t>
  </si>
  <si>
    <t xml:space="preserve"> Garantizar el adecuado manteniniento en las Instituciones  y Sedes Educativas
</t>
  </si>
  <si>
    <t>Servicio de Aseo y  Vigilancia para las Instituciones Educativas Oficiales y sus sedes educativas del Departamento del Quindio</t>
  </si>
  <si>
    <t>Monopolio</t>
  </si>
  <si>
    <t>Secretario de Educación Departamental</t>
  </si>
  <si>
    <t>Superávit Monopolio</t>
  </si>
  <si>
    <t xml:space="preserve">Superavit Ordinario </t>
  </si>
  <si>
    <t>Implementar el Programa de Alimentación Escolar (PAE) en el departamento del Quindío</t>
  </si>
  <si>
    <t>Programa PAE implementado</t>
  </si>
  <si>
    <t xml:space="preserve">Implementar un programa de alimentacion escolar para las Instituciones educativas del departamento del Quindio, con el fin de  disminuir los indices de deserciòn escolar  durante la vigencia 2017
</t>
  </si>
  <si>
    <t xml:space="preserve">Suministro de alimientación escolar para la jornada regular y unica par los niños, niñas, adolescentes  y jóvenes escolarizados con matricula oficial en las Instituciones Educativas </t>
  </si>
  <si>
    <t xml:space="preserve"> Educación PAE </t>
  </si>
  <si>
    <t>Rendimientos PAE</t>
  </si>
  <si>
    <t>Superavit Programa de Alimentación EScolar PAE</t>
  </si>
  <si>
    <t>Personal de apoyo , para el acompañamiento, seguimiento y verificación y supervision de la ejecucion del PAE</t>
  </si>
  <si>
    <t>Implementar el programa de transporte escolar en el departamento del Quindio</t>
  </si>
  <si>
    <t>Programa de transporte escolar implementado</t>
  </si>
  <si>
    <t>Garantizar el transporte escolar a los niños, niñas, jóvenes y adolescentes de la zona rural de los 11 municipios no certificados del Departamento del Quindío para disminuir las distancias de desplazamiento y garantizar el acceso al sistema educativo.</t>
  </si>
  <si>
    <t>Transferencia de recursos  a los Municipios, para la cofinanciación del servicio de transporte a los alumnos de básica y media que habiten en los corregimientos y veredas, que granaticen la permanencia en el sistema educativo 
Municipios Transporte</t>
  </si>
  <si>
    <t>Educación inclusiva con acceso y permanencia para poblaciones vulnerables - diferenciales</t>
  </si>
  <si>
    <t>Atender cuatro mil quinientos (4.500)  personas de la población adulta del departamento (jóvenes y adultos, madres cabeza de hogar)</t>
  </si>
  <si>
    <t>número de estudiantes  pertenecientes a la población adulta  (jóvenes y adultos) atendidos  en el sistema educativo</t>
  </si>
  <si>
    <t> 0314 - 5 - 3 1 3 5 17 1 86 - 20
1404 - 5 - 3 1 3 5 17 1 86 - 25
0314 - 5 - 3 1 3 5 17 1 86 - 88</t>
  </si>
  <si>
    <t>201663000-0086</t>
  </si>
  <si>
    <t>Implementación de estrategias de inclusión para garantizar la atención educativa a población vulnerable en el  Departamento del  Quindío.</t>
  </si>
  <si>
    <t>Incrementar la atención de la población vulnerable del departamento del Quindío</t>
  </si>
  <si>
    <t>Implementar un plan integral  gubernamental para la caracterización y atencion de la poblacion vulnerabe en edad escolar en el departamento del quindio</t>
  </si>
  <si>
    <t>Logística (papeleria, afiches, volantes, folletos, pendones, entre otras), para el desarrollo de actividades  educativas de la poblacion adulta del departamento</t>
  </si>
  <si>
    <t xml:space="preserve">
Secretario de Educación Departamental</t>
  </si>
  <si>
    <t>Diseñar e implementar una estrategia que permita disminuir la tasa de analfabetismo en los municipios del Departamento del Quindío</t>
  </si>
  <si>
    <t xml:space="preserve">Estrategia diseñada e  implementada </t>
  </si>
  <si>
    <t>Promoción desarrollo del programa de alfabetización y  educación  poblacion adulta del departamento</t>
  </si>
  <si>
    <t>Atender cuatrocientos noventa (490) personas de la población étnica (Afro descendientes e indígenas)  en el sistema educativo en los diferentes niveles.</t>
  </si>
  <si>
    <t>Número de personas pertenecientes a la población étnica (afrodescendientes e indígenas)  atendidos en el sistema educativo</t>
  </si>
  <si>
    <t>Personal de apoyo educativo,  para población étnica, afrodescendientes e indigenas,</t>
  </si>
  <si>
    <t>Adquisición implementos artísticos, para el fortalecimeinto de la cultura de la población étnica, afrodescendientes e indigenas, en el Departamento</t>
  </si>
  <si>
    <t xml:space="preserve">Atender dos mil quinientos setenta estudiantes (2570) en condición de población  victima del conflicto, residentes en el departamento del Quindío </t>
  </si>
  <si>
    <t xml:space="preserve">Número de estudiantes  pertenecientes a la población victima del conflicto atendidos </t>
  </si>
  <si>
    <t>Personal de apoyo educativo, para población  víctima del conflicto en el Departamento</t>
  </si>
  <si>
    <t>Atender  cuatrocientos cincuenta y cinco (455)  menores y/o adultos  que se encuentran en riesgo social    en conflicto con la ley penal,  iletrados, habitantes de frontera y/o menores  trabajadores.</t>
  </si>
  <si>
    <t xml:space="preserve">Número de personas que se encuentran en riesgo social, en conflicto con la ley penal,  iletrados, habitantes de frontera y/o menores  trabajadores,  atendidos  </t>
  </si>
  <si>
    <t>Implementar un programa para brindarles una mejor atencion educativa a los menores y/o adultos con situaciones penales, iletrados, menores trabajadores.</t>
  </si>
  <si>
    <t>Diseñar e implementar un plan para la caracterización y atención de la población en condiciones especiales y excepcionales del departa</t>
  </si>
  <si>
    <t>Plan diseñado e implementado</t>
  </si>
  <si>
    <t>Personal de apoyo idoneos para la atencion de la poblacion con NNE y talentos Excepcionales.</t>
  </si>
  <si>
    <t>SGP Educacion</t>
  </si>
  <si>
    <t>Sostener dos mil doscientos treinta y dos (2.232) docentes, directivos docentes y administrativos viabilizados por el ministerio de educación nacional vinculados a la secretaria de educación departamental</t>
  </si>
  <si>
    <t>Número de docentes, directivos docentes y administrativos  sostenidos</t>
  </si>
  <si>
    <t>1402 - 5 - 3 1 3 5 18 1 87 - 25</t>
  </si>
  <si>
    <t>201663000-0087</t>
  </si>
  <si>
    <t>Aplicación funcionamiento y prestación del servicio educativo de las instituciones educativas</t>
  </si>
  <si>
    <t xml:space="preserve">Mejorar los niveles de eficiencia y eficacia en los procesos administrativos para la 
presentacion de los informes y/o reportes que garanticen la viabilidad ante el ministerio de educacion nacional de la planta docente, directivos docentes y administrativos de las institucinoes educativas oficiales del departamento del Quindío
</t>
  </si>
  <si>
    <t>Generar estrategias que garantice la sostenibilidad de la planta docente, directivos docentes y administratvos viabilizados por el ministerio de educación nacional vinculados a la secretaría de educación departamental</t>
  </si>
  <si>
    <t>Gastos de personal,  generales, transferencias de la Planta Docente, Directivos Docentes y  personal administrativo de las Instituciones Educativas Oficiales del Departamento.</t>
  </si>
  <si>
    <t>SGP Educación CSF</t>
  </si>
  <si>
    <t>1402 - 5 - 3 1 3 5 18 1 87 25</t>
  </si>
  <si>
    <t>1402 - 5 - 3 1 3 5 18 1 2 4 1 2 - 146</t>
  </si>
  <si>
    <t>SGP Educación SSF</t>
  </si>
  <si>
    <t>1402 - 5 - 3 1 3 5 18 1 87 - 26</t>
  </si>
  <si>
    <t>1402 - 5 - 3 1 3 5 18 1 87 - 9</t>
  </si>
  <si>
    <t>Superavit SGP</t>
  </si>
  <si>
    <t>1403 - 5 - 3 1 3 5 18 1 87 -25</t>
  </si>
  <si>
    <t>1403 - 5 - 3 1 3 5 18 1 87 - 26</t>
  </si>
  <si>
    <t>0314 - 5 - 3 1 3 5 18 1 87 - 88</t>
  </si>
  <si>
    <t>Superavit Recurso Ordinario</t>
  </si>
  <si>
    <t>Calidad Educativa</t>
  </si>
  <si>
    <t>Calidad Educativa para la Paz</t>
  </si>
  <si>
    <t xml:space="preserve">Mejorar el  índice sintético de calidad educativa (ISCE) en el nivel de básica primaria,  por encima del promedio nacional, en treinta  y seis  (36)  Instituciones Educativas oficiales </t>
  </si>
  <si>
    <t>Número de Instituciones Educativas con el ISCE mejorado</t>
  </si>
  <si>
    <t>201663000-0089</t>
  </si>
  <si>
    <t xml:space="preserve">Implementación de  estrategias para el mejoramiento continuo del indice sintetico de calidad educativa en los niveles de básica primaria, básica secundaria y nivel de media en el Departamento del Quindio 
</t>
  </si>
  <si>
    <t xml:space="preserve">iImplementación de estrategias para el mejoramiento del  índice sintetico de calidad educativa en los niveles de básica primaria, básica secundaria y nivel de media en el Departamento del Quindio </t>
  </si>
  <si>
    <t xml:space="preserve">Brindar acompañamiento a docentes de instituciones educativas del departamento del quindío con tutores del programa todos a  aprender </t>
  </si>
  <si>
    <t>Capacitación y Lógistica</t>
  </si>
  <si>
    <t>Capacitar a mil doscientos (1.200) docentes en estrategias para el mejoramiento del ISCE en el Departamento del Quindío</t>
  </si>
  <si>
    <t>Número de docentes capacitados</t>
  </si>
  <si>
    <t>Capacitar a docentes en estrategias para el mejoramiento del Indice Sintético de Calidad Educativa en el Departamento del Quindío</t>
  </si>
  <si>
    <t>Capacitación y Lógistica
 (• Talleres MEN
• Red de coordinadores
• Refrigerios
• Almuerzos
• Material impreso
• Textos matemáticas y lenguaje
• Prensa escuela)</t>
  </si>
  <si>
    <t xml:space="preserve">0314 - 5 - 3 1 3 6 19 1 89 - 20
0314 - 5 - 3 1 3 6 19 1 89 - 88
</t>
  </si>
  <si>
    <t>Beneficiar a ochenta (80) docentes  con becas de posgrado</t>
  </si>
  <si>
    <t xml:space="preserve">Número de docentes beneficiados </t>
  </si>
  <si>
    <t>Beneficiar a docentes de instituciones educativas del departamento del Quindío con becas de posgrado</t>
  </si>
  <si>
    <t>Seguimiento a Docentes Becas para la excelencia</t>
  </si>
  <si>
    <t xml:space="preserve">Apoyar quince (15) instituciones educativas participando en el programa todo a aprender </t>
  </si>
  <si>
    <t>Número de Instituciones Ediucatrivas participando  en el Progrma PTA</t>
  </si>
  <si>
    <t xml:space="preserve">Gestionar con el Ministerio de Educación nacional para la focalización  de nuevas instituciones educativas del departamento del quindío con el programa todos a aprender  </t>
  </si>
  <si>
    <t>Brindar apoyo a las instituciones educativas focalizadas, para la Formación  del Programa Todos a Aprender</t>
  </si>
  <si>
    <t>Brindar acompañamiento a doscientos treinta (230) docentes con  tutores PTA</t>
  </si>
  <si>
    <t>Número de docentes acompañados de tutores PTA</t>
  </si>
  <si>
    <t xml:space="preserve">Brindar acompañamiento a docentes de instituciones educativas del departamento del quindío con tutores del programa todos a  aprender  </t>
  </si>
  <si>
    <t>Brindar acompañamiento a los docentes con tutores,  para la Formación  del Programa Todos a Aprender</t>
  </si>
  <si>
    <t>Beneficiar a 4.700  estudiantes con el  Programas Todos  a Aprender</t>
  </si>
  <si>
    <t>Número de estudiantes beneficiados con el PTA</t>
  </si>
  <si>
    <t>Beneficiar a estudiantes de instituciones Educativas del departamento del quindío con el  Programa Todos  a Aprender</t>
  </si>
  <si>
    <t>Beneficiar a estudiantes de instituciones Educativas del departamento,  con el  Programa Todos  a Aprender</t>
  </si>
  <si>
    <t xml:space="preserve">Mejorar el  índice sintético de calidad educativa (ISCE) en el nivel de básica secundaria,  por encima del promedio nacional, en cuarenta  y un  (41)  Instituciones Educativas oficiales </t>
  </si>
  <si>
    <t>Número de I.E. con índice ISCE en básica secundaria por encima del promedio nacional mejoradas</t>
  </si>
  <si>
    <t>Capacitación y Lógistica, para el  mejoramiento  del  índice sintético de calidad educativa (ISCE) en el nivel de básica secundaria.</t>
  </si>
  <si>
    <t xml:space="preserve">Mejorar el  índice sintético de calidad educativa (ISCE) en el nivel de media,  por encima del promedio nacional, en cuarenta  (40)  Instituciones Educativas oficiales </t>
  </si>
  <si>
    <t>Número de I.E. con índice ISCE en media por encima del promedio nacional mejoradas</t>
  </si>
  <si>
    <t>Capacitación y Lógistica, para el  mejoramiento  del  índice sintético de calidad educativa (ISCE) en el nivel de básica media</t>
  </si>
  <si>
    <t>Educación, Ambientes Escolares y Cultura para la Paz</t>
  </si>
  <si>
    <t xml:space="preserve">Fortalecer cincuenta y cuatro (54) comités de convivencia escolar de las instituciones educativas </t>
  </si>
  <si>
    <t>Numero de comités fortalecidos</t>
  </si>
  <si>
    <t>201663000-0090</t>
  </si>
  <si>
    <t>Mejoramiento de ambientes escolares y  fortalecimiento de modelos educativos articuladores de la ciencia, los lenguajes, las artes y el deporte en el Departamento del Quindio</t>
  </si>
  <si>
    <t>Mejorar las condiciones de Infraestructura y de elementos  pedagógicos para la implementación de la jornada única y ambientes escolares para la Paz</t>
  </si>
  <si>
    <t>Fortalecer los comités de convivencia escolar en las 54 IE</t>
  </si>
  <si>
    <t>Apoyo para el fortalecimiento de los Comités de Convivencia Escolar</t>
  </si>
  <si>
    <t>Diseñar y ejecutar treinta (30)  proyectos educativos institucionales resignificados en el contexto de la paz y la jornada única</t>
  </si>
  <si>
    <t>Proyectos educativos institucionales diseñados y ejecutados</t>
  </si>
  <si>
    <t xml:space="preserve"> Resignificar los proyectos educativos institucionales en el contexto de la paz y la jornada única</t>
  </si>
  <si>
    <t>Acompañamiento a los Directores Docentes en el proceso de Resignificación de los PEI-Jornada Unica-Ingles-Directoras de Núcleo</t>
  </si>
  <si>
    <t>Diseñar e implementar la estrategia "escuela de padres" en treinta (30) instituciones educativa</t>
  </si>
  <si>
    <t>Numero de instituciones con estrategia de escuela de padres diseñada e implementada</t>
  </si>
  <si>
    <t>Diseñar e implementar la estrategia Escuela de Padres</t>
  </si>
  <si>
    <t xml:space="preserve">Acompañamiento a la instituciones educativas  para la implementación de la escuela de padres </t>
  </si>
  <si>
    <t>Conformar y dotar   grupos culturales y artísticos en treinta (30)  instituciones educativas con  protagonismo en cada uno de los municipios</t>
  </si>
  <si>
    <t>Número de instituciones educativas con grupos conformados y dotados</t>
  </si>
  <si>
    <t>Conformar y dotar grupos culturales artísticos en instituciones educativas</t>
  </si>
  <si>
    <t>Adquisición  de Instrumentos Músicales para el apoyo a los Grupos culturales y  Artísticos de las Instituciones Educativas</t>
  </si>
  <si>
    <t xml:space="preserve">
SGP Prestación de Servicios Educación</t>
  </si>
  <si>
    <t>Implementar el proyecto PRAE en treinta y seis (36)  instituciones educativas del departamento</t>
  </si>
  <si>
    <t>Número de instituciones educativas con PRAE implementado</t>
  </si>
  <si>
    <t>Implementar el proyecto PRAE en instituciones educativas del departamento</t>
  </si>
  <si>
    <t>Apoyo  para la Implementación  del proyecto PRAE en treinta y seis (36)  instituciones educativas del departamento</t>
  </si>
  <si>
    <t>0314 - 5 - 3 1 3 6 20 1 90 - 20</t>
  </si>
  <si>
    <t>Dotación de implementos de mitigación, prevencion y atención del riesgo para el fortalecimiento del Plan Escolar de Gestión del Riesgo (PEGER)</t>
  </si>
  <si>
    <t>Realizar ocho (8) eventos académicos, investigativos y culturales</t>
  </si>
  <si>
    <t>Número de eventos realizados</t>
  </si>
  <si>
    <t>Encuentro Cultural de Étnoeducación</t>
  </si>
  <si>
    <t>1404 - 5 - 3 1 3 6 20 1 90 - 21</t>
  </si>
  <si>
    <t>Feria Concetar TIC</t>
  </si>
  <si>
    <t xml:space="preserve">Festival de Literatura y Escritura
</t>
  </si>
  <si>
    <t xml:space="preserve">Implementar el  programa de  jornada única con el acceso y permanencia de veinte mil (20.000) estudiantes </t>
  </si>
  <si>
    <t>Numero de estudiantes en el programa jornada única</t>
  </si>
  <si>
    <t>0314 - 5 - 3 1 3 6 20 1 90 - 88</t>
  </si>
  <si>
    <t>Implementar el programa de jornada única</t>
  </si>
  <si>
    <t>Coordinación del programa de Jornada Unica con el acompañamiento de los  rectores de las Instituciones Educativas focalizadas</t>
  </si>
  <si>
    <t xml:space="preserve">Mantener, adecuar y/o construir la infraestructura ciento treinta (130) sedes de las instituciones educativas  </t>
  </si>
  <si>
    <t>Numero de sedes mantenidas, adecuadas y/o construidas</t>
  </si>
  <si>
    <t>Mejorar las condiciones de infraestructura y de elementos pedagógicos para la implementación de la jornada única y ambientes escolares para la Paz</t>
  </si>
  <si>
    <t>Tranferencia de Recursos para Pequeñas Intervenciones en las Instituciones Educativas del Departamento.</t>
  </si>
  <si>
    <t>Levantamiento de planos para determinar necesidades en la adecuación y/o construcción de pequeñas intervenciones en infraestructura de las sedes educativas</t>
  </si>
  <si>
    <t xml:space="preserve">Dotar cincuenta y cuatro (54) instituciones educativas con material didáctico, mobiliario escolar y/o infraestructura tecnológica  </t>
  </si>
  <si>
    <t>Numero de instituciones educativas dotadas</t>
  </si>
  <si>
    <t>Dotar Instituciones Educativas de material didáctico, mobiliario escolar y/o infraestructura tecnológica</t>
  </si>
  <si>
    <t>Dotación  de material didactico, mobiliario escolar y/o infraestructura tecnológica en las instituciones educativas.</t>
  </si>
  <si>
    <t>Implementar la jornada complementaria y/o unica que articule arte,deporte y cultura, en seis (6) municipios declarados en el sistema de alertas tempranas de la defensoría del pueblo</t>
  </si>
  <si>
    <t>Municipios declarados en el sistema de alertas tempranas con jormada complementaria y/o única</t>
  </si>
  <si>
    <t>Implementar jornada complementaria y/o única que articule arte, cultura y deporte.</t>
  </si>
  <si>
    <t>Implementación jornada complementaria y/o única que articule arte, cultura y deporte.</t>
  </si>
  <si>
    <t>Plan Departamental del Lectura y Escritura</t>
  </si>
  <si>
    <t xml:space="preserve">Implementar el programa "pásate a la biblioteca"  en treinta y seis (36)  instituciones educativas </t>
  </si>
  <si>
    <t>Número de instituciones educativas con programa "pásate a la biblioteca" implementado</t>
  </si>
  <si>
    <t>201663000-0091</t>
  </si>
  <si>
    <t>Implementación de  estrategias educativas en  lectura y escritura en las instituciones educativas en el Departamento del Quindío.</t>
  </si>
  <si>
    <t xml:space="preserve">Implementación de  estrategias para  el desarrollo de competencias  y habilidades en lectura y escritura de los docentes y estudiantes de las insituciones educativas del  Departamento del Quindio
</t>
  </si>
  <si>
    <t>Implementar el programa "pasate a la Biblioteca  en instituciones educativas del departamento del Quindio</t>
  </si>
  <si>
    <t>Fortalecimiento del programa EN Literatuta y Escritura</t>
  </si>
  <si>
    <t xml:space="preserve">Dotar ciento cuarenta (140) sedes educativas con la colección semilla </t>
  </si>
  <si>
    <t>Número de sedes educativas dotadas</t>
  </si>
  <si>
    <t xml:space="preserve"> Dotar sedes educativas del Departamento del Quindío con la colección semilla</t>
  </si>
  <si>
    <t>Adquisiciíon Colección Semilla</t>
  </si>
  <si>
    <t>0314 - 5 - 3 1 3 6 21 1 91 - 20</t>
  </si>
  <si>
    <t>Apoyar los  procesos de capacitación  de quinientos (500) docentes del departamento</t>
  </si>
  <si>
    <t>Número de docentes apoyados</t>
  </si>
  <si>
    <t>Apoyar los  procesos de capacitación  de docentes de instituciones educativas del departamento del quindío en estrategias de lectura y escritura</t>
  </si>
  <si>
    <t>Apoyo procesos de capacitación de docentes en   Inglés,  Español y Literatura,  Convivencia Escolar,  PRAES</t>
  </si>
  <si>
    <t>1404 - 5 - 3 1 3 6 21 1 91 - 21</t>
  </si>
  <si>
    <t xml:space="preserve">Realizar seis (6)  festivales o encuentros de literatura y escritura el departamento </t>
  </si>
  <si>
    <t>Número de festivales o encuentros realizados</t>
  </si>
  <si>
    <t>0314 - 5 - 3 1 3 6 21 1 91 - 88</t>
  </si>
  <si>
    <t>Realizar festivales o encuentros de literatura y escritura dirigidos a estudiantes y docentes de instituciones educativas del  departamento del Quindío</t>
  </si>
  <si>
    <t xml:space="preserve">Realización de festivales de Literatura y Escritura  en las Instituciones Educativas del Departamento
</t>
  </si>
  <si>
    <t>Funcionamiento de las Instituciones Educativas</t>
  </si>
  <si>
    <t xml:space="preserve">Contar con cincuenta y dos (52) instituciones educativas con  mayor eficiencia en la gestión de sus procesos y proyectos  ante la entidad  territorial y la Secretaria de Educación Departamental.
</t>
  </si>
  <si>
    <t>Numero de instituciones educativas con mayor eficiencia en los procesos</t>
  </si>
  <si>
    <t>201663000-0093</t>
  </si>
  <si>
    <t>Mejoramiento de estrategias que permitan una mayor eficiencia en la gestion de procesos y proyectos de las instituciones educativas del Departamento del Quindio.</t>
  </si>
  <si>
    <t> asistir tecnicamente a las instituciones educativas del departamento para mejorar los proceos administrativos para el manejo de los fondos educativos.</t>
  </si>
  <si>
    <t>debida ejecucion de los recursos de los fondos educativos</t>
  </si>
  <si>
    <t xml:space="preserve"> Capacitaciones ditigidas a los rectores de las Instituciones Educativas para el manejo de los fondos Educativos.</t>
  </si>
  <si>
    <t>Ordinarios</t>
  </si>
  <si>
    <t>0314 - 5 - 3 1 3 6 22 1 93 - 20</t>
  </si>
  <si>
    <t>0314-5-313724193-88</t>
  </si>
  <si>
    <t>Pertinencia e Innovación</t>
  </si>
  <si>
    <t>Quindío Bilingüe</t>
  </si>
  <si>
    <t>Apoyar cincuenta y cinco (55) docentes licenciados en lenguas modernas formados en ingles con  dominio B2</t>
  </si>
  <si>
    <t>Numero de docentes apoyados en formación en ingles con dominio B2</t>
  </si>
  <si>
    <t>201663000-0094</t>
  </si>
  <si>
    <t>Implementación de estrategias para el mejoramiento de las competencias en lengua extranjera en estudiantes y docentes de las instituciones educativas del Departamento del Quindío</t>
  </si>
  <si>
    <t>Aumentar el nivel de competencia en inglés de docentes y Directivos Docentes</t>
  </si>
  <si>
    <t>Aumentar la cualificación de los docentes de inglés en aspectos linguísticos y metodológicos</t>
  </si>
  <si>
    <t>Capacitar docentes licenciados en lenguas modernas, en competencias linguisticas y medtodologia de la enseñanza del ingles</t>
  </si>
  <si>
    <t>Cualificar la formación de ciento cincuenta (150) docentes de preescolar y básica primaria en inglés con dominio A2 y B1 y metodología para la enseñanza</t>
  </si>
  <si>
    <t>Numero de docentes de preescolar y básica primaria formados</t>
  </si>
  <si>
    <t>Capacitar docentes de  preescolar y básica primaria con dominio A2 y B1 en inglés</t>
  </si>
  <si>
    <t>capacitar docentes de preescolar y básica primaria, en competencias linguisticas y medtodologia de la enseñanza del ingles</t>
  </si>
  <si>
    <t>Iniciar el proceso de bilinguismo  en niños  entre pre-escolar - quinto grado de primaria de colegios públicos en seis (6) municipios</t>
  </si>
  <si>
    <t>Número de Municipio con Bilinguismo</t>
  </si>
  <si>
    <t>Implementar un curriculo de preescolar a grado quinto con docentes en lengua extranjera ingles en isticuiones educativas</t>
  </si>
  <si>
    <t>Dotar cincuenta y cuatro (54) instituciones educativas con herramientas audiovisuales para la enseñanza del ingles</t>
  </si>
  <si>
    <t>Número de instituciones educativas dotadas</t>
  </si>
  <si>
    <t>Dotar insitituciones educativas con herramientas audiovisuales</t>
  </si>
  <si>
    <t>Adquisición herramientas audiovisuales para la enseñanza del Inglés</t>
  </si>
  <si>
    <t>Realizar siete (7)  concursos  para evaluar las competencias comunicativas en ingles de los estudiantes</t>
  </si>
  <si>
    <t>Número de concursos en inglés realizados</t>
  </si>
  <si>
    <t>Realizar actividades de evaluación de competencias comunicativas en inglés a estudiantes</t>
  </si>
  <si>
    <t xml:space="preserve">Concurso de Deletreo Inglés
</t>
  </si>
  <si>
    <t>Fortalecimiento de la Media Técnica</t>
  </si>
  <si>
    <t>Desarrollar doce (12) talleres para docentes en el uso de las TICs</t>
  </si>
  <si>
    <t>Número de talleres desarrollados</t>
  </si>
  <si>
    <t>201663000-0095</t>
  </si>
  <si>
    <t xml:space="preserve">Fortalecimiento de los niveles de educación  básica y media para la articulación con la educación terciaria en el Departamento del Quindio </t>
  </si>
  <si>
    <t>Mejorar los porcentajes de estudiantes con posibilidad de ingreso a la educación superior y etdh en el departamento del Quindío.</t>
  </si>
  <si>
    <t>Brindar a la población egresada de las instituciones educativas oficiales del departamento, meyores y mejores oportunidades para el ingreso a la educación terciaria</t>
  </si>
  <si>
    <t>Apoyo  a docentes de las Instituciones Educativas,  en el  Uso y Apropiacion de TICs  y Redes LAN</t>
  </si>
  <si>
    <t>Fortalecer cincuenta (50)   instituciones educativas en competencias básicas</t>
  </si>
  <si>
    <t>Número de instituciones educativas fortalecidas</t>
  </si>
  <si>
    <t>Capacitación y Logistica, Talleres de Referentes, Planeación Curricular, Evaluación de los Aprendizajes</t>
  </si>
  <si>
    <t>superavit ordinario</t>
  </si>
  <si>
    <t>Fortalecer cuarenta y siete (47) instituciones educativas con el programa de articulación con la educación superior y Educacion para el Trabajo y Desarrollo  Humano ETDH</t>
  </si>
  <si>
    <t xml:space="preserve">0314 - 5 - 3 1 3 7 24 1 95 - 20
</t>
  </si>
  <si>
    <t>Atención estudiantes de educación media de las Instituciones Educativas Oficiales del Departamento, en programas de nivel técnico  profesional</t>
  </si>
  <si>
    <t>0314 - 5 - 3 1 3 7 24 1 95 - 88</t>
  </si>
  <si>
    <t>Implementar un Programa de Alimentación Escolar Universitario PAEU para estudiantes universitarios</t>
  </si>
  <si>
    <t>Programa PAEU implementado</t>
  </si>
  <si>
    <t>Implementación  Programa de Alimentación Escolar Universitario PAEU para estudiantes universitarios</t>
  </si>
  <si>
    <t>Implementar el programa de acceso y permanencia de la educación técnica, tecnologica y superior en el departamento del Quindío</t>
  </si>
  <si>
    <t>Programa Implementado</t>
  </si>
  <si>
    <t>2017003630-122</t>
  </si>
  <si>
    <t>Implementación de un Fondo de apoyo departamental para el acceso y la permanencia de la educación técnica, tecnológica y superior en el Departamneto del Quindío</t>
  </si>
  <si>
    <t>Asignación Becas a Estudianrtes Egresados de las Instituciones  Educativas  Oficiales del Departamento</t>
  </si>
  <si>
    <t xml:space="preserve">Recurso MOnopolio
</t>
  </si>
  <si>
    <t xml:space="preserve">0314 - 5 - 3 1 3 7 24 1 122 - 20
</t>
  </si>
  <si>
    <t xml:space="preserve">Recurso Ordinadio
</t>
  </si>
  <si>
    <t>0314 - 5 - 3 1 3 7 24 1 122 - 91</t>
  </si>
  <si>
    <t>Aportes ente territorial para la infraestructura en educación superior</t>
  </si>
  <si>
    <t>Pago cuota compraventa bien inmueble Institucion Educativa San Jose de Circasia ordenanzas 035 de 2010,047 de 2010 y 020 de 2011</t>
  </si>
  <si>
    <t>Eficiencia Educativa</t>
  </si>
  <si>
    <t>Eficiencia y modernización administrativa</t>
  </si>
  <si>
    <t>Fortalecer, hacer seguimiento y auditar cuatro (4)  procesos certificados con que cuenta la Secretaria de Educación Departamental</t>
  </si>
  <si>
    <t>Numero de procesos certificados fortalecidos, con seguimiento y auditados</t>
  </si>
  <si>
    <t>0314 - 5 - 3 1 3 8 25 1 96 - 20</t>
  </si>
  <si>
    <t>201663000-0096</t>
  </si>
  <si>
    <t xml:space="preserve">Fortalecimiento de los niveles de eficiencia administrativa en la Secretaría de Educación Departamental del Quindío </t>
  </si>
  <si>
    <t>Mejorar los niveles de eficiencia administrativa en la secretaría de educación departamental del Quindío</t>
  </si>
  <si>
    <t>Iimplementación de estrategias que garantice la eficiencia administrativa en la secretaría de educación departamental del Quindío</t>
  </si>
  <si>
    <t>Realizar la  auditoría ICONTEC, a los cuatro macroprocesos de educación</t>
  </si>
  <si>
    <t>Crear e implementar  en cincuenta y dos (52) instituciones educativas procesos presupuestales y financieros integrados</t>
  </si>
  <si>
    <t>Número de instituciones educativas con proceso presupuestal y financiero integrado creado e implementado</t>
  </si>
  <si>
    <t>Adquisición de software para la automatiación de procesos financieros en las instituciones educativas oficiales del departamento del Quindío</t>
  </si>
  <si>
    <t>Inicio  automatización  aplicativo para procesos presupuestales y Financieros</t>
  </si>
  <si>
    <t>Otros proyectos de conectividad</t>
  </si>
  <si>
    <t xml:space="preserve"> </t>
  </si>
  <si>
    <t>Implementar y/o mejorar el sistema de conectividad en 200 sedes educativas oficiales en el departamento.</t>
  </si>
  <si>
    <t>Número de sedes educativas implementadas y/o mejoradas</t>
  </si>
  <si>
    <t>1404 - 5 - 3 1 3 8 26 1 97 - 25
0314-5-313826197-20
0314 - 5 - 3 1 3 8 28 1 97 -88</t>
  </si>
  <si>
    <t>201663000-0097</t>
  </si>
  <si>
    <t xml:space="preserve">Fortalecimiento de las herramientas tecnológicas en las Instituciones Educativas del Departamento del Quindío </t>
  </si>
  <si>
    <t>Ampliar la cobertura del servicio de conectividad en las sedes educativas oficiales del departamento del Quindiío</t>
  </si>
  <si>
    <t>Optimizar los procesos administrativos y los recursos económicos con destinación al servicio de conectividad de las sedes educativas del departamento.</t>
  </si>
  <si>
    <t>Mejoramiento del Sistema de  Conectividad de las Sedes Educativas del Departamento</t>
  </si>
  <si>
    <t xml:space="preserve">SGP EDUCACIÓN
</t>
  </si>
  <si>
    <t>Funcionamiento y prestación de servicios del sector educativo del nivel central</t>
  </si>
  <si>
    <t>Realizar el pago oportuno al 100% de los funcionarios de la planta de  administrativos, docentes y directivos docentes del sector central</t>
  </si>
  <si>
    <t>% de funcionarios con pago oportuno</t>
  </si>
  <si>
    <t>1400 - 5 - 3 1 3 8 27 1 98 25</t>
  </si>
  <si>
    <t>201663000-0098</t>
  </si>
  <si>
    <t>Funcionamiento y Prestación de Servicios del Sector Educativo del nivel Central  en el Departamento del Quindio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</si>
  <si>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</si>
  <si>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</si>
  <si>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t xml:space="preserve">Gastos de personal,  generales, transferencias de los funcionarios de la Planta del sector central,   Docentes y  Directivos Docentes </t>
  </si>
  <si>
    <t>Eficiencia administrativa y docente en la  gestión del bienestar laboral</t>
  </si>
  <si>
    <t>Realizar el reconocimiento a sesenta (60) docentes, directivos docentes y/o personal administrativo</t>
  </si>
  <si>
    <t>Número de docentes, directivos docentes y/o personal administrativo reconocidos</t>
  </si>
  <si>
    <t xml:space="preserve">0314 - 5 - 3 1 3 8 28 1 100 - 20
</t>
  </si>
  <si>
    <t>201663000-0100</t>
  </si>
  <si>
    <t>Mejoramiento  de la gestión admnistrativa y docente para la eficiencia del bienestar laboral   del Departamento del Quindio</t>
  </si>
  <si>
    <t>Incrementar los niveles de eficiencia administrativa en los procesos relacionados con el bienestar laboral y calidad de vida de los funcionarios de la secretaría de educación departamental del Quindío</t>
  </si>
  <si>
    <t>Fomentar en los docentes, directivos docentes y administrativos de la seretaría de educación departamental del quindío sentido de pertenencia, mediante el reconocimiento de sus logros</t>
  </si>
  <si>
    <t>Reconocimiento  a los  mejores docentes, directivos docentes y personal administrativo, incluida la logistica para el evento</t>
  </si>
  <si>
    <t>Realizar (ocho) 8 eventos y actividades culturales y recreativas, desarrolladas para los funcionarios del servicio educativo del departamento del Quindío</t>
  </si>
  <si>
    <t>Número de eventos y actividades culturales y recreativas realizadas</t>
  </si>
  <si>
    <t>Fomentar en , directivos docentes y administrativos de la seretaría de educación departamental del quindío sentido de pertenencia, mediante el reconocimiento de sus logros</t>
  </si>
  <si>
    <t>Logística actividades culturales y recreativas para los funcionarios del servicio educativo</t>
  </si>
  <si>
    <t>Atención Integral a la Primera Infancia</t>
  </si>
  <si>
    <t xml:space="preserve">Educación Inicial Integral </t>
  </si>
  <si>
    <t>Implementar  un (1)  programa de educación integral  a la primera infancia</t>
  </si>
  <si>
    <t>Programa implementado</t>
  </si>
  <si>
    <t>0314 - 5 - 3 1 3 16 57 1 101 - 20</t>
  </si>
  <si>
    <t>201663000-0101</t>
  </si>
  <si>
    <t xml:space="preserve">Implementación del modelo de atención integral de la educación inicial en el Departamento del  Quindio. </t>
  </si>
  <si>
    <t>Aumentar la tasa de cobertura  de  niños y niñas en edad de transición en las instituciones  educativas del  departamento</t>
  </si>
  <si>
    <t>Adquisición de  Kits Escolares para los estudiantes de los grados de Preescolar en sedes educativas oficiales del Departamento</t>
  </si>
  <si>
    <t>Apoyo para el programa de educación inicial en las instiuciones educativas oficiales del Departamento</t>
  </si>
  <si>
    <t>FRANCISICO JAVIER LOPEZ SEPULVEDA</t>
  </si>
  <si>
    <t>SECRETARIO DE EDUCACION DEPARTAMENTAL</t>
  </si>
  <si>
    <t>PROGRAMACIÓN PLAN DE ACCIÓN
SECRETARÍA DE FAMILIA
I TRIMESTRE 2019</t>
  </si>
  <si>
    <t>META FISICA</t>
  </si>
  <si>
    <t>No.</t>
  </si>
  <si>
    <t>Niños y Niñas en entornos Protectores-semillas infantiles-</t>
  </si>
  <si>
    <t>Implementar  un modelo intersectorial  de atención  integral  y entornos protectores (hogar,  educativo, salud, espacio público e institucionales)   implementado.</t>
  </si>
  <si>
    <t>Modelo de atención integral de entornos protectores implementado</t>
  </si>
  <si>
    <t>0316 - 5 - 3 1 3 16 56 14 102 - 20</t>
  </si>
  <si>
    <t>201663000-0102</t>
  </si>
  <si>
    <t>Implementación de un modelo de atención integral a niños y niñas en entornos protectores en el Departamento del Quindío</t>
  </si>
  <si>
    <t>Atención integral a los niños, niñas de primera infancia desde la gestación hasta los 4 años y 11 meses con un modelo integral y diferencial, que permita mejorar sus condiciones de vida.</t>
  </si>
  <si>
    <t xml:space="preserve">Incrementar los índices de apoyo y acompañamiento en el desarrollo infantil en  ambientes familiares y grupales,  alimentación adecuada y seguimiento al desarrollo.
</t>
  </si>
  <si>
    <t>Implementar un programa de atención integral a menores de 5 años y madres gestantes en entornos familiares</t>
  </si>
  <si>
    <t>MARIA DEL CARMEN AGUIRRE BOTERO
SECRETARIA DE FAMILIA</t>
  </si>
  <si>
    <t>Realizar talleres de sensibilización en entorno Institucional a la primera infancia</t>
  </si>
  <si>
    <t>Apoyo en la realización de actividades y seguimiento del modelo intersectorial de atención integral a los municipios del departamento</t>
  </si>
  <si>
    <t>Realizar seguimiento a las acciones que garanticen la atención integral a la primera infancia</t>
  </si>
  <si>
    <t>Apoyar la creación y/o implementación de Rutas integrales de Atención a la primera infancia.</t>
  </si>
  <si>
    <t>Numero de rutas integrales de atención  a al a primera infancia implementadas y/o creadas</t>
  </si>
  <si>
    <t>Mejorar el acompañamiento en el desarrollo gestacional y  complemento nutricional, pautas de crianza y desarrollo infantil</t>
  </si>
  <si>
    <t>Seguimiento a las 6 rutas implementadas en los municipios priorizados por la nación (Armenia, Buenavista, Circasia, Pijao, Quimbaya y La Tebaida)</t>
  </si>
  <si>
    <t>Prestar asistencia técnica en el proceso de documentación para la creación de las rutas integrales de atención en los municipios de Córdoba, Salento, Montenegro, Génova, Calarcá y Filandia.</t>
  </si>
  <si>
    <t xml:space="preserve">Apoyar la socialización de las rutas integrales de atención, en marco de los comités y consejos que así lo requieran, del orden Departamental y municipal. </t>
  </si>
  <si>
    <t>Apoyo en el seguimiento de la Implementación de la ruta integral de  atención departamental.</t>
  </si>
  <si>
    <t>Promoción y  Protección  de la Familia</t>
  </si>
  <si>
    <t xml:space="preserve">Familias para la Construcción  del Quindío como  territorio de paz. </t>
  </si>
  <si>
    <t xml:space="preserve">Formular  e implementar  la política pública departamental de familias para la construcción  del Quindío como  territorio de paz. </t>
  </si>
  <si>
    <t>Política publica departamental de familias formulada  e implementada</t>
  </si>
  <si>
    <t>0316 - 5 - 3 1 3 17 58 14 103 - 20</t>
  </si>
  <si>
    <t>201663000-0103</t>
  </si>
  <si>
    <t xml:space="preserve"> Formulación e implementación de  la política pública  de la familia en el departamento del Quindío</t>
  </si>
  <si>
    <t>Implementar la política pública que garantice los derechos de las familias del departamento del Quindío.</t>
  </si>
  <si>
    <t>Aumentar espacios de atención, formación y reflexión, orientados al fortalecimiento de los entornos familiares, sociales y educativos.</t>
  </si>
  <si>
    <t>Apoyar con el seguimiento,  monitoreo y evaluación de la política publica de familia</t>
  </si>
  <si>
    <t>Desarrollar estrategias, programas y/o proyectos que promuevan la garantía de derechos de las familias del departamento y fomenten la prevención de riesgo, a través de mejorar las conductas al interior de las mismas</t>
  </si>
  <si>
    <t>Apoyo  al  seguimiento de  la  ejecución presupuestal  de los recursos destinados   a la  política pública de familia</t>
  </si>
  <si>
    <t>Apoyo y acompañamiento jurídico en el marco de la implementación de la política publica de familia</t>
  </si>
  <si>
    <t>Realizar acciones tendientes a la implementación de la política publica de familia</t>
  </si>
  <si>
    <t xml:space="preserve">Alto grado de tolerancia ante la diversidad de pensamientos y comportamientos al interior de las familias </t>
  </si>
  <si>
    <t xml:space="preserve">Campañas, publicidad y promoción </t>
  </si>
  <si>
    <t>Refrigerios, logística y sonido</t>
  </si>
  <si>
    <t xml:space="preserve">Quindío departamento de derechos  de niñas, niños y adolescentes </t>
  </si>
  <si>
    <t/>
  </si>
  <si>
    <t>Implementar la política pública de primera infancia, infancia y adolescencia</t>
  </si>
  <si>
    <t>Política publica de primera infancia, infancia y adolescencia implementada</t>
  </si>
  <si>
    <t>201663000-0109</t>
  </si>
  <si>
    <t>Implementación de la  política de primera infancia, infancia y adolescencia en el Departamento del Quindío</t>
  </si>
  <si>
    <t xml:space="preserve">Implementar la política pública que garantice los derechos de los niños, niñas y adolescentes del depto. del Quindío. </t>
  </si>
  <si>
    <t>Eficiencia en la articulación Interinstitucional que garantice un seguimiento efectivo del cumplimiento del plan de acción de la política publica de infancia y adolescencia</t>
  </si>
  <si>
    <t>Apoyar con el seguimiento al Plan de Acción de la Política Publica  de primera infancia, infancia y adolescencia del departamento</t>
  </si>
  <si>
    <t>Apoyo al Comité de  Primera Infancia, Infancia y Adolescencia y al Consejo de Política Social</t>
  </si>
  <si>
    <t>Apoyo a programas que conlleven a la  implementación de la Política publica de primera infancia, infancia y adolescencia en el Departamento del Quindío</t>
  </si>
  <si>
    <t>Apoyo en la revisión jurídica en los temas relacionados con la implementación de la política publica de primera infancia, infancia y adolescencia del departamento</t>
  </si>
  <si>
    <t>Brindar asistencia técnica a los municipios del departamento, que así lo requieran en temas relacionados con el seguimiento e implementación de la política publica de primera infancia, infancia y adolescencia del departamento</t>
  </si>
  <si>
    <t>Promover prácticas deportivas, recreativas, lúdicas y culturales, como generadora y potenciadora en el desarrollo integral de los niños, niñas y adolescentes vulnerables del departamento del Quindío.</t>
  </si>
  <si>
    <t>0316 - 5 - 3 1 3 17 59 14 109 - 20</t>
  </si>
  <si>
    <t>Logística operativa, sonido, refrigerios.</t>
  </si>
  <si>
    <t>Implementar  una estrategia de prevención y atención de embarazos y segundos embarazos a temprana edad.</t>
  </si>
  <si>
    <t>Estrategia de prevención  y atención de embarazos a temprana edad implementada</t>
  </si>
  <si>
    <t xml:space="preserve">Disminuir los factores de vulneración de los derechos de niños, niñas y adolescentes (maltrato, abuso, abandono, explotación sexual) </t>
  </si>
  <si>
    <t>Apoyar la Implementación de una estrategia de prevención de embarazos y segundos embarazos a temprana edad</t>
  </si>
  <si>
    <t>Realizar jornadas pedagógicas de prevención en las Instituciones educativas del depto.</t>
  </si>
  <si>
    <t>Apoyar la articulación intersectorial, a través de mesas de trabajo en pro de la prevención de los embarazos en adolescentes y segundos embarazos a temprana edad.</t>
  </si>
  <si>
    <r>
      <t>Implemen</t>
    </r>
    <r>
      <rPr>
        <sz val="12"/>
        <rFont val="Arial"/>
        <family val="2"/>
      </rPr>
      <t xml:space="preserve">tar una  </t>
    </r>
    <r>
      <rPr>
        <sz val="12"/>
        <color indexed="8"/>
        <rFont val="Arial"/>
        <family val="2"/>
      </rPr>
      <t xml:space="preserve">estrategia  de prevención y atención de la erradicación del abuso, explotación sexual comercial, trabajo infantil y peores formas de trabajo, y actividades delictivas. </t>
    </r>
  </si>
  <si>
    <t>Estrategia  de prevención y atención de la erradicación del abuso implementada</t>
  </si>
  <si>
    <t>Formular estrategias de prevención de y atención en la erradicación del abuso, explotación sexual, comercial, actividades delictivas</t>
  </si>
  <si>
    <t>Apoyar la implementación de una  estrategia  de prevención y atención de la erradicación del abuso, explotación sexual comercial, trabajo infantil y peores formas de trabajo, y actividades delictivas</t>
  </si>
  <si>
    <t>Apoyar la implementación del Plan integral de prevención y erradicación del trabajo infantil "PIPETI", las peores formas de trabajo y apoyar al CIETI</t>
  </si>
  <si>
    <t>Brindar asistencia técnica y Apoyo a las la diferentes iniciativas  en los doce municipios orientados a la prevención de la vulneración de los derechos de los niños, niñas y adolescentes</t>
  </si>
  <si>
    <t xml:space="preserve"> "Sí para ti" atención integral a adolescentes y jóvenes </t>
  </si>
  <si>
    <t>Revisar, ajustar e implementar la política pública de juventud del departamento</t>
  </si>
  <si>
    <t>Política pública de juventud revisada, ajustada e implementada</t>
  </si>
  <si>
    <t>0316 - 5 - 3 1 3 17 60 14 110 - 20</t>
  </si>
  <si>
    <t>201663000-0110</t>
  </si>
  <si>
    <t>Desarrollar  acciones encaminadas a la atención integral  de los adolescentes y jóvenes del Departamento del Quindío</t>
  </si>
  <si>
    <t>Desarrollar procesos efectivos de atención, generación de impacto, oferta pública y garantía de derechos.</t>
  </si>
  <si>
    <t xml:space="preserve">Revisar, ajustar e implementar la política pública de jóvenes del departamento </t>
  </si>
  <si>
    <t xml:space="preserve">Apoyo y seguimiento a los indicadores de cumplimiento del plan de acción de la política publica de juventud </t>
  </si>
  <si>
    <t xml:space="preserve">20
</t>
  </si>
  <si>
    <t>María Del Carmen Aguirre Botero
Secretaria de Familia</t>
  </si>
  <si>
    <t xml:space="preserve">Fortalecer los proyectos productivos de organizaciones juveniles legalmente  constituidas </t>
  </si>
  <si>
    <t xml:space="preserve">Capacitaciones, socialización y conformación de espacios de participación juvenil </t>
  </si>
  <si>
    <t>Desarrollo de acciones dispuestas a la implementación de la política de juventud, en los componentes de responsabilidad de la oficina de juventud</t>
  </si>
  <si>
    <t>ADQUISICION DE BIENES Y SERVICIOS: Logística operativa,  refrigerios, sonido, ferretería, etc.</t>
  </si>
  <si>
    <t>Volantes, pendones, afiches, manillas, etc.</t>
  </si>
  <si>
    <t>Implementar  dos (2) estrategias de prevención para adolescentes y jóvenes en riesgo social y/o vinculados a la Ley de responsabilidad  penal</t>
  </si>
  <si>
    <t>Número  de estrategias  de prevención  para adolescentes y jóvenes implementadas</t>
  </si>
  <si>
    <t xml:space="preserve">Actividades pedagógicas y Jornadas de movilización social  sobre el concepto de la práctica barrista como expresión cultural, dirigidas a los jóvenes que son líderes y miembros  de las barras futboleras del Departamento del Quindío. </t>
  </si>
  <si>
    <t>Realizar actividades de prevención para adolescentes y jóvenes en riesgo social y/o vinculados a la Ley de responsabilidad  penal</t>
  </si>
  <si>
    <t>Apoyo y seguimiento a los procesos de coordinación del sistema de responsabilidad penal</t>
  </si>
  <si>
    <t>Desarrollar e implementar una estrategia de prevención del consumo de sustancias psico activas  (SPA)  dirigida a adolescentes y jóvenes del departamento.</t>
  </si>
  <si>
    <t>Estrategia   de  prevención del consumo de sustancias psico activas  (SPA) , implementada.</t>
  </si>
  <si>
    <t>Desarrollar  e implementar  estrategias  de prevención  del consumo de sustancias psicoactivas  (SPA)  en  adolescentes y jóvenes del departamento, Con el fin de  sensibilizar  la población frente  a  los daños colaterales generados por  el consumo.</t>
  </si>
  <si>
    <t>Implementar una estrategia de prevención del consumo de SPA en el departamento del Quindío</t>
  </si>
  <si>
    <t>Apoyar  en temas de prevención del consumo de sustancias psicoactivas, a través de talleres de sensibilización.</t>
  </si>
  <si>
    <t xml:space="preserve">Seguimiento a la implementación de la estrategia de prevención de consumo de SPA </t>
  </si>
  <si>
    <t>"Capacidad sin limites"</t>
  </si>
  <si>
    <t>Revisar, ajustar  e implementar   la política pública departamental de discapacidad  "Capacidad sin limites",</t>
  </si>
  <si>
    <t>Política pública departamental de discapacidad  revisada, ajustada  e implementada.</t>
  </si>
  <si>
    <t>0316 - 5 - 3 1 3 17 61 14 114 - 20</t>
  </si>
  <si>
    <t>201663000-0114</t>
  </si>
  <si>
    <t>Actualización e implementación  de   la política pública departamental de discapacidad  "Capacidad sin limites" en el Quindío</t>
  </si>
  <si>
    <t xml:space="preserve">Aumentar los niveles de representatividad e incidencia de las personas con discapacidad en escenarios de participación social y política en el Departamento. </t>
  </si>
  <si>
    <t xml:space="preserve">Realizar acciones para  el  seguimiento al Plan de Acción de los CMD – Ejes de la Política Publica
</t>
  </si>
  <si>
    <t xml:space="preserve">Apoyar la elaboración de diagnósticos comunitarios sobre la situación de personas con discapacidad en comunidades focalizadas. 
</t>
  </si>
  <si>
    <t xml:space="preserve">
MARIA DEL CARMEN AGUIRRE BOTERO
SECRETARIA DE FAMILIA</t>
  </si>
  <si>
    <t xml:space="preserve">Promover  y  fortalecer la creación de organizaciones que trabajan con y para las personas con discapacidad y sus familias 
</t>
  </si>
  <si>
    <t>Apoyar la Formación a líderes y al Comité Departamental de Discapacidad en gestión y formulación de proyectos</t>
  </si>
  <si>
    <t>Procesos de  fortalecimiento en la cultura organizacional  del sector público y privado</t>
  </si>
  <si>
    <t>Apoyar la Formación de la población con discapacidad, cuidadores , cuidadoras y sus familias, en talleres de formación en maderas, pintura, muralismo, escultura y artes plásticas, etc., con el fin de realizar inclusión social y mejoramiento de su calidad de vida.</t>
  </si>
  <si>
    <t>Apoyo  al  seguimiento del  plan de acción, presupuesto e indicadores de la  política pública de discapacidad</t>
  </si>
  <si>
    <t>Apoyar la Implementación de  una estrategia gerencial integral  que permita la funcionalidad y operatividad del Comité Departamental de Discapacidad, como la asesoría a los comités municipales de discapacidad en su fortalecimiento y sostenimiento</t>
  </si>
  <si>
    <t>Fomentar y fortalecer la inclusión laboral y productiva de cuidadores, cuidadoras, PCD y sus Familias</t>
  </si>
  <si>
    <t xml:space="preserve">Capacitar en el cuidado y manejo de la Discapacidad a Cuidadoras, Cuidadores y Familias </t>
  </si>
  <si>
    <t xml:space="preserve">Apoyar la elaboración ,seguimiento y evaluación de los planes de acción de los municipios y depto. de la Política Publica de discapacidad.
</t>
  </si>
  <si>
    <t xml:space="preserve">Diseñar , construir  y difundir  de manera concertada la malla de oferta institucional con los diferentes actores
</t>
  </si>
  <si>
    <t>Acompañamiento a  las personas con discapacidad,  familias y comunidad en la implementación del programa RBC</t>
  </si>
  <si>
    <t>Realizar  capacitaciones en agentes comunitarios en RBC</t>
  </si>
  <si>
    <t>Servicio permanente de intérpretes de lengua de señas en servicios de urgencia y de información pública.</t>
  </si>
  <si>
    <t>Conformación y fortalecimiento a las redes de apoyo de la estrategia RBC</t>
  </si>
  <si>
    <t>Eventos de participación e integración de la población con discapacidad</t>
  </si>
  <si>
    <t xml:space="preserve">LOGISTICA OPERATIVA: Refrigerios, sonido, logística en general, elementos y/o materia prima </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</si>
  <si>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</si>
  <si>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</si>
  <si>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Estrategia diseñada e implementada.</t>
  </si>
  <si>
    <t>0316 - 5 - 3 1 3 18 62 14 117 - 20</t>
  </si>
  <si>
    <t>201663000-0117</t>
  </si>
  <si>
    <t xml:space="preserve">Diseño e implementación  de la estratégica para la atención de la  población  en vulnerabilidad extrema  en el Departamento del Quindío  </t>
  </si>
  <si>
    <t>Diseño e implementación de una estrategia para la atención de la población en situación de vulnerabilidad extrema del departamento. (Habitantes de calle, trabajo sexual, reincidencia delictiva, drogadicción, bandas delincuenciales, entre otras.</t>
  </si>
  <si>
    <t>Implementar una estrategia integral necesariamente articulada en red que asegure contar con los recursos suficientes mediante una  efectiva sinergia y  coordinación entre instituciones públicas y privadas.</t>
  </si>
  <si>
    <t>Apoyar el seguimiento a los planes de acción participativos  para atención de la población en alta vulnerabilidad</t>
  </si>
  <si>
    <t>Apoyar el seguimiento a los programas, proyectos y/o actividades que beneficien la población Habitantes en Calle y  personas en alta  vulnerabilidad y alto riesgo social</t>
  </si>
  <si>
    <t>Brindar asistencia técnica a las poblaciones en estado de vulnerabilidad en procesos de emprendimiento, creación  y formalización de empresas.</t>
  </si>
  <si>
    <t>Fomentar los procesos de emprendimiento y empleabilidad de las poblaciones en estado de vulnerabilidad del departamento del Quindío</t>
  </si>
  <si>
    <t>Implementar  programas, proyectos y/o actividades para la atención a habitantes de calle  del departamento del Quindío así como, acciones encaminadas a garantizar los derechos de la población en estado  de  vulnerabilidad  extrema  en el departamento del Quindío.</t>
  </si>
  <si>
    <t>Apoyar la implementación una  estrategia para la atención de la  población  en  situación  de  vulnerabilidad  extrema  en el Departamento del Quindío (habitantes de  calle, trabajo  sexual, reincidencia delictiva, drogadicción, bandas delincuenciales, entre otros).</t>
  </si>
  <si>
    <t>Apoyo  al  seguimiento de  la  ejecución presupuestal  de los recursos destinados  a la Implementación de la estrategia de atención de la población en situación de vulnerabilidad del departamento</t>
  </si>
  <si>
    <t>Brindar apoyo a la Secretaría de Familia en las diferentes jornadas, actividades o acciones  realizadas  con  población vulnerable del departamento el Quindío.</t>
  </si>
  <si>
    <t>Apoyar a la Secretaría de Familia en la realización de convocatorias, acompañamiento logístico y asistencia operativa tendientes a la atención de la población vulnerable del departamento.</t>
  </si>
  <si>
    <t>Apoyar con la realización de informes relacionados con el cumplimiento de la meta: 191: Diseñar  e   implementar una  estrategia para la atención de la  población  en  situación  de  vulnerabilidad  extrema  en el Departamento del Quindío (habitantes de  calle, trabajo  sexual, reincidencia delictiva, drogadicción, bandas delincuenciales, entre otros).</t>
  </si>
  <si>
    <t>Apoyar la coordinación entre las diferentes Secretarías del orden departamental  y/o demás instituciones para la atención integral de la población vulnerable</t>
  </si>
  <si>
    <t>Apoyar  con  programas específicos, dirigido  a grupos  que viven en entornos de alto riesgo: Extrema pobreza, desarraigo social,  drogadicción, delincuencia, prostitución, o pertenecen a familias    multiproblemáticas  y de alto riesgo social</t>
  </si>
  <si>
    <t>Realizar  estrategias orientadas a  población en estado de vulnerabilidad que permitan garantizar espacios de bienestar, cohesión social; que dignifiquen sus condiciones de vida.</t>
  </si>
  <si>
    <t>Desarrollar estrategias, programas y/o proyectos que promuevan la garantía de derechos de las familias de población vulnerable del departamento y fomenten la prevención de los riesgos psicosociales a través de intervenciones educativas</t>
  </si>
  <si>
    <t xml:space="preserve">Realizar actividades tendientes a la implementación de estrategias, programas o proyectos que conlleven al bienestar de las familias, los niños y niñas, jóvenes y mujeres del departamento del Quindío en situación de vulnerabilidad </t>
  </si>
  <si>
    <t xml:space="preserve">Implementar con la comunidad  de los sectores de mayor vulnerabilidad programas, proyectos y / o estrategias de prevención al consumo de drogas </t>
  </si>
  <si>
    <t>Logística operativa, refrigerios, sonido, ferretería</t>
  </si>
  <si>
    <t xml:space="preserve">Campañas  de difusión, socialización  y participación  ciudadana para la prevención del  riesgo social en el depto.
</t>
  </si>
  <si>
    <t>Genero, Poblaciones vulnerables y con enfoque diferencial</t>
  </si>
  <si>
    <t>Implementar  un  programa  departamental para la atención y acompañamiento a la población migrante  y de repatriación .</t>
  </si>
  <si>
    <t>programa departamental  implementado para la atención y acompañamiento a la población migrante y de repatriación.</t>
  </si>
  <si>
    <t>0316 - 5 - 3 1 3 18 62 14 118 - 20</t>
  </si>
  <si>
    <t>201663000-0118</t>
  </si>
  <si>
    <t xml:space="preserve"> Implementación del programa  para la atención y acompañamiento  del ciudadano migrante  y de repatriación en el Departamento del Quindío.</t>
  </si>
  <si>
    <t>Implementar el plan de acompañamiento al ciudadano migrante (el que sale y el que retorna).</t>
  </si>
  <si>
    <t>Existencia de planes de acompañamiento al ciudadano migrante del depto. del Quindío</t>
  </si>
  <si>
    <t>Procesos  de capacitación, asistencia técnica, seguimiento y evaluación en cuanto a la garantía de derechos de la población migrante del Departamento</t>
  </si>
  <si>
    <t>-</t>
  </si>
  <si>
    <t>Apoyar el programa de asistencia social y de repatriación de Quindianos fallecidos en el exterior</t>
  </si>
  <si>
    <t>Apoyar el plan de vida para el resguardo indígena Dachi Agore Drua del municipio de Calarcá</t>
  </si>
  <si>
    <t>Plan de vida apoyado y fortalecido</t>
  </si>
  <si>
    <t>0316 - 5 - 3 1 3 18 63 14 121 - 20</t>
  </si>
  <si>
    <t>201663000-0121</t>
  </si>
  <si>
    <t>Garantizar el apoyo y fortalecimiento del plan de vida del Resguardo Dachi Agore Drua del municipio de Calarcá en el Departamento del Quindío</t>
  </si>
  <si>
    <t>Altos índices de seguridad alimentaria,</t>
  </si>
  <si>
    <t>Asistencia Social: Procesos de apoyo, gestión, asesoría y acompañamiento al Resguardo Dachi Agore Drua del Departamento para garantizar los derechos fundamentales y Especiales.</t>
  </si>
  <si>
    <t xml:space="preserve">Apoyo, acompañamiento y fortalecimiento en cuanto a procesos de seguridad alimentaria, saneamiento básico, educación, salud, justicia, gobernabilidad y territorio </t>
  </si>
  <si>
    <t>Apoyar con unidades productivas al plan de vida del Resguardo Indígena</t>
  </si>
  <si>
    <t>Compra de herramientas, materiales, insumos, etc. Para beneficiar a la población indígena DACHI AGORE DRUA</t>
  </si>
  <si>
    <t>Apoyar   y fortalecer  la elaboración y puesta en marcha  de  planes de vida de los pueblos indígenas asentados en el Departamento del Quindío.</t>
  </si>
  <si>
    <t>Planes de vida apoyados y fortalecidos</t>
  </si>
  <si>
    <t>0316 - 5 - 3 1 3 18 63 14 122 - 20</t>
  </si>
  <si>
    <t>201663000-0122</t>
  </si>
  <si>
    <t>Apoyar la elaboración y puesta en marcha de planes de vida de los cabildos indígenas en el depto. del Quindío.</t>
  </si>
  <si>
    <t>Elaborar un diagnóstico real de las condiciones de vida de las comunidades indígenas del depto.</t>
  </si>
  <si>
    <t xml:space="preserve"> Garantizar la atención integral y con enfoque diferencial de las comunidades indígenas asentadas en el Departamento del Quindío</t>
  </si>
  <si>
    <t>Articulación institucional para la atención diferencial de los indígenas del depto.</t>
  </si>
  <si>
    <t>Adquisición de bienes y servicios</t>
  </si>
  <si>
    <t xml:space="preserve">Implementar  un programa  articulado interinstitucional para la atención integral con enfoque diferencial  a la población afro descendiente del Departamento del Quindío en sus diferentes formas organizativas </t>
  </si>
  <si>
    <t>Programa  articulado interinstitucional para la  atención integral con enfoque diferencial a la población afro descendiente implementado</t>
  </si>
  <si>
    <t>0316 - 5 - 3 1 3 18 64 14 124 - 20</t>
  </si>
  <si>
    <t>201663000-0124</t>
  </si>
  <si>
    <t>Garantizar la protección de derechos y la atención integral con enfoque diferencial de las comunidades afro descendientes asentadas en el
Departamento del Quindío.</t>
  </si>
  <si>
    <t>Implementar un programa articulado interinstitucional para la atención integral con enfoque diferencial a la población afro del departamento</t>
  </si>
  <si>
    <t>Capacitaciones dirigidas a comunidades Afros del Departamento</t>
  </si>
  <si>
    <t xml:space="preserve">Asistencia social </t>
  </si>
  <si>
    <t xml:space="preserve">Alto interés en apoyar y fortalecer la formulación de planes de etnodesarrollo en los municipios con presencia de comunidades afro descendientes 
</t>
  </si>
  <si>
    <t xml:space="preserve">Adquisición de bienes y servicios </t>
  </si>
  <si>
    <t>Sí a la diversidad sexual e identidad de género y su familia.</t>
  </si>
  <si>
    <t>Formular  la política pública departamental de diversidad sexual e identidad de género</t>
  </si>
  <si>
    <t>Política pública formulada e implementada</t>
  </si>
  <si>
    <t>0316 - 5 - 3 1 3 18 65 14 125 - 20</t>
  </si>
  <si>
    <t>201663000-0125</t>
  </si>
  <si>
    <t>Fomulación e implementación de la politca pública  de diversidad sexual en el Departamento del Quindio</t>
  </si>
  <si>
    <t>Implementación de la política pública que garantice los derechos de las personas con diversidad sexual e identidad de género en el dpto del Quindío.</t>
  </si>
  <si>
    <t>Establecer políticas claras para la inclusión social de la población LGTBI</t>
  </si>
  <si>
    <t>Implementacion del plan de accion  de la politica publica de diversidad sexual e identidad de genero</t>
  </si>
  <si>
    <t>Desarrollo de campañas talleres y proyectos relacionados con la promocion de derechos de poblacion LGTBI</t>
  </si>
  <si>
    <t>Pendón,plegables. Folletos, manillas, etc</t>
  </si>
  <si>
    <t>Logistica operativa, refrigerios, sonido para celebracion de eventos relacionados con la equidad</t>
  </si>
  <si>
    <t>Mujeres constructoras de Familia y de paz.</t>
  </si>
  <si>
    <t>Revisar, ajustar  e  implementar  la política publica de equidad de género para la  mujer del departamento</t>
  </si>
  <si>
    <t>Política pública  de equidad de genero revisada, ajustada e implementada.</t>
  </si>
  <si>
    <t xml:space="preserve">0316 - 5 - 3 1 3 18 66 14 128 - 20
</t>
  </si>
  <si>
    <t>201663000-0128</t>
  </si>
  <si>
    <t>Implementaciòn de la polìtica pùblica de equidad de género para la mujer en el Departamento del Quindìo</t>
  </si>
  <si>
    <t xml:space="preserve">Sensibilizar y fortalecer a la población vulnerable asentada en el departamento del Quindío (mujeres, indígenas, afrodescendientes, migrantes y población LGTBI), promoviendo el cumplimiento de los derechos y  garantizando condiciones de vida digna </t>
  </si>
  <si>
    <t>Cumplimiento de la normatividad jurídica nacional e internacional</t>
  </si>
  <si>
    <t>Seguimiento al cumplimiento de los planes de acción de la Politica Publica de  Equidad de Género para la mujer</t>
  </si>
  <si>
    <t>Apoyo en la consolidacion de espacios de participacion a traves de la socializacion de la normatividad existente</t>
  </si>
  <si>
    <t>seguimiento al Plan de Acción de la Política Publica de Equidad de Género para Mujer</t>
  </si>
  <si>
    <t xml:space="preserve">Capacitacion  y concientización  para lograr la igualdad de género y empoderar a las mujeres </t>
  </si>
  <si>
    <t>Fortalecimiento y/o apoyo a unidades productivas y/o proyectos de emprendemiento de mujeres</t>
  </si>
  <si>
    <t>Desarrollo de actividades de impacto para la promocion de derechos y movilizacion social</t>
  </si>
  <si>
    <t>Atención integral al Adulto Mayor</t>
  </si>
  <si>
    <t xml:space="preserve">Quindío para todas las edades </t>
  </si>
  <si>
    <t>Revisar, ajustar  e implementar  la política pública departamental "Un Quindío para todas las edades 2010-2020"</t>
  </si>
  <si>
    <t>Política pública revisada, ajustada  e implementada.</t>
  </si>
  <si>
    <t xml:space="preserve">0316 - 5 - 3 1 3 19 67 14 129 - 20
</t>
  </si>
  <si>
    <t>201663000-0129</t>
  </si>
  <si>
    <t xml:space="preserve">Apoyo y bienestar integral a las personas mayores del Departamento del Quindío </t>
  </si>
  <si>
    <t>Altos índices de atención a los adultos mayores en el departamento del Quindío.</t>
  </si>
  <si>
    <t xml:space="preserve">                                                                                    Apoyar la elaboración ,seguimiento y evaluación de los planes de acción de los municipios y depto. de la Política Publica de envejecimiento y vejez
                                                                                                                                                                                                                                  </t>
  </si>
  <si>
    <t>Apoyo  al  seguimiento de  la  ejecución presupuestal  de los recursos destinados   a la  política pública de Envejecimiento y vejez</t>
  </si>
  <si>
    <t xml:space="preserve">Apoyar el seguimiento y evaluación de los planes de acción de los municipios y depto. de la Política Publica de envejecimiento y vejez
</t>
  </si>
  <si>
    <t xml:space="preserve">
Desarrollar estrategias de vigilancia y control que permitan garantizar el cumplimiento y reconocimiento de los derechos de las personas mayores</t>
  </si>
  <si>
    <t xml:space="preserve">
Apoyar asistencias técnicas grupales a los grupos de adultos mayores del depto., en deporte, cultura, recreación y motivación </t>
  </si>
  <si>
    <t xml:space="preserve">Realizar motivación e infundir  sentido de pertenencia y compromiso de parte del Consejo Departamental del  adulto mayor_x000D_
</t>
  </si>
  <si>
    <t>Logística Operativa: Sonido, logística, refrigerios</t>
  </si>
  <si>
    <t>Apoyo a  eventos programados por la Secretaría día de la celebración de las personas de la tercera edad y el pensionado</t>
  </si>
  <si>
    <t>Crear el cabildo de adulto mayor del Departamento y apoyar la creación en once municipios del Quindío</t>
  </si>
  <si>
    <t>Número de Cabildos de Adulto Mayor creados.</t>
  </si>
  <si>
    <t xml:space="preserve">
Apoyar con actividades para la  creación del cabildo de adulto mayaren en 6 municipios del Quindío
</t>
  </si>
  <si>
    <t xml:space="preserve">Apoyar 12 Centros de Bienestar del Departamento </t>
  </si>
  <si>
    <t>Centro de bienestar apoyados</t>
  </si>
  <si>
    <t>0316 - 5 - 3 1 3 19 67 14 129 - 06
0316 - 5 - 3 1 3 19 67 14 129 - 84</t>
  </si>
  <si>
    <t xml:space="preserve">Apoyar acciones que conlleven al conocimiento de la Ley 1276 del 2009: Nuevos Criterios de Atención Integral del Adulto  Mayor en los Centros Vida
</t>
  </si>
  <si>
    <t>Centros de Bienestar del Adulto Mayor (CBA)</t>
  </si>
  <si>
    <t>Estampilla adulto mayor</t>
  </si>
  <si>
    <t>Superávit Adulto mayor</t>
  </si>
  <si>
    <t xml:space="preserve">Apoyar 14 Centros Vida del Departamento </t>
  </si>
  <si>
    <t>Centros vida apoyados</t>
  </si>
  <si>
    <t>CENTROS VIDA (DV)</t>
  </si>
  <si>
    <t>PROGRAMACIÓN PLAN DE ACCIÓN
SECRETARIA DE HACIENDA Y FINANZAS PUBLICAS
I TRIMESTRE 2019</t>
  </si>
  <si>
    <t xml:space="preserve">                                                               </t>
  </si>
  <si>
    <t>GESTIÓN TERRIITORIAL</t>
  </si>
  <si>
    <t>Implementar 4 procesos de fiscalización de las Rentas Departamentales</t>
  </si>
  <si>
    <t>Procesos de fiscalización implementados</t>
  </si>
  <si>
    <t>0307 - 5 - 3 1 5 28 88 17 16 - 20
0307 - 5 - 3 1 5 28 88 17 16 - 56
0307 - 5 - 3 1 5 28 88 17 16 - 88</t>
  </si>
  <si>
    <t>201663000-0016</t>
  </si>
  <si>
    <t xml:space="preserve"> Mejoramiento de la sostenibilidad de los procesos de fiscalización liquidación control y cobranza de los tributos en el Departamento del Quindío</t>
  </si>
  <si>
    <t xml:space="preserve"> Aumentar los  porcentajes de crecimiento de los ingresos en el Departamento del Quindio, a través de procesos de fiscalización, procedimientos administrativos de cobro coactivo de la cartera morosa y cumplimiento del  Programa Anticontrabando 
</t>
  </si>
  <si>
    <t xml:space="preserve">Realizar procesos de fiscalizaciòn de las rentas Departamentales, a través de la realización de controles en la
liquidación y cobranza  en los tributos con el fin de aumentar los ingresos consolidar la cultura tributaria y
aumentar la inversion. 
</t>
  </si>
  <si>
    <t>Procesos de Fiscalizaciòn sobre  LAS RENTAS DEPARTAMENTALES</t>
  </si>
  <si>
    <t xml:space="preserve">
Recurso Ordinario
</t>
  </si>
  <si>
    <t xml:space="preserve"> Secretaría de Hacienda</t>
  </si>
  <si>
    <t>Implementar una estrategia de cobro coactivo sobre la cartera morosa de las Rentas Departamentales.</t>
  </si>
  <si>
    <t>Estrategia de cobro coactivo implementada</t>
  </si>
  <si>
    <t>Llevar a cabo la implementaciòn de los diferentes Procesos Administrativos de Cobro Coactivo sobre aquellos contribuyentes que se encuentran en mora de cancelar sus obligaciones tributarias</t>
  </si>
  <si>
    <t xml:space="preserve">Procedimiento Administrativo de cobro coactivo frente a la cartera de las diferentes Rentas del Departamento del Quindío </t>
  </si>
  <si>
    <t xml:space="preserve">
Recurso Ordinario</t>
  </si>
  <si>
    <t xml:space="preserve">Ejecutar el programa anti contrabando suscrito con la Federación Nacional de Departamentos.                               </t>
  </si>
  <si>
    <t>Programa anticontrabando ejecutado</t>
  </si>
  <si>
    <t>Ejecutar el Programa Anticontrabando en el Departamento del Quindìo con ocasion de la suscripcion del Convenio entre el Departamento del Quindìo y la Federaciòn Nacional de Departamentos</t>
  </si>
  <si>
    <t xml:space="preserve">Programa Anticontrabando de licores, Cerveza y Cigarrillos.
</t>
  </si>
  <si>
    <t>Convenio Anticontrabando</t>
  </si>
  <si>
    <t>Elaborar el diagnóstico del sistema de Información tributario y financiero</t>
  </si>
  <si>
    <t>Diagnostico del sistema de información tributario y financiero elaborado</t>
  </si>
  <si>
    <t xml:space="preserve">0307 - 5 - 3 1 5 28 88 17 17 - 20
0307 - 5 - 3 1 5 28 88 17 17 - 88
</t>
  </si>
  <si>
    <t>201663000-0017</t>
  </si>
  <si>
    <t xml:space="preserve"> Implementación de un programa de gestión fianciera para la optimización de los procesos en el area de tesorería, presupuesto y contabilidad en el Departamento del Quindio </t>
  </si>
  <si>
    <t xml:space="preserve">Fortalecer la Gestiòn Financiera mediante la consolidaciòn de los Sistemas de Informaciòn, implementaciòn de Normas Internacionales de Informaciòn Financiera NIIF,  crecimiento real de ingresos, sostenibilidad de la deuda y el manejo de pasivos, a fin de garantizar la confiabilidad de la Informaciòn Financiera y aplicacìon de Normas en las Finanzas Pùblicas
</t>
  </si>
  <si>
    <t>Elaborar el diagnóstico del sistema de información tributario y financiero, consolidando los sistemas de información y optimizando los procesos en el área de tesoreria, presupuesto y contabilidad en el Departamento del Quindío</t>
  </si>
  <si>
    <t>consolidación de lls sistemas de información</t>
  </si>
  <si>
    <t xml:space="preserve">  Secretarría de Hacienda</t>
  </si>
  <si>
    <t xml:space="preserve">Implementar un programa para el cumplimiento de las políticas y prácticas contables para la administración departamental         </t>
  </si>
  <si>
    <t>Programa para el cumplimiento de políticas contables implementado</t>
  </si>
  <si>
    <t xml:space="preserve">Adoptar el nuevo modelo de informaciòn Financiera determinado por las Normas Internacionales de Contabilidad de información financiera NIIF, a fin de garantizar la confiabilidad de la información financiera.
</t>
  </si>
  <si>
    <t xml:space="preserve"> Implementaciòn de Normas Internacionales de Informaciòn Financiera (NIIF) y fortalecimiento institucional ara el cumplimiento de de las politicas y practicas contables en el área de tesorería, Presupuesto y Contabilidad</t>
  </si>
  <si>
    <t>                         </t>
  </si>
  <si>
    <t xml:space="preserve">LUZ HELENA MEJIA  CARDONA </t>
  </si>
  <si>
    <t>Secretaria de Hacienda Y Finanzas Públicas</t>
  </si>
  <si>
    <t>SEGUIMIENTO PLAN DE ACCIÓN
IDTQ
I TRIMESTRE DE 2019</t>
  </si>
  <si>
    <t>SEGURIDAD HUMANA</t>
  </si>
  <si>
    <t>Seguridad humana como dinamizador de la vida, dignidad y libertad en el Quindio</t>
  </si>
  <si>
    <t>Fortalecimiento de la Seguridad vial en el Departamento</t>
  </si>
  <si>
    <t>Implementar  programas para contribuir en la reducciòn de la accidentalidad en las vías del departamento del Quindìo.</t>
  </si>
  <si>
    <t>Fortalecimiento de la seguridad vial  en el Departamento del Quindío</t>
  </si>
  <si>
    <t>Disminuir  el numero de lesiones fatales y graves por accidentes de transito , en la poblacion , a traves de planes y programas institucionales para mejorar las condiciones de vida de la poblacion de los municipios de la jurisdicción del instituto departamental de transito del quindio</t>
  </si>
  <si>
    <t>Disminuir los riesgos de accidentes en las vias mediante la formulación e implementación de planes y programas de seguridad vial para el mejoramiento de las ocndiciones de vida de la población en la jurisdicción del I.D.T.Q</t>
  </si>
  <si>
    <t>Implementar un programa para disminuir la accidentalidad en las vías del departamento</t>
  </si>
  <si>
    <t>Recurso Ordinario Departamento</t>
  </si>
  <si>
    <t>Gloria Mercedes Buitrago Salazar</t>
  </si>
  <si>
    <t>Recurso Propio IDTQ</t>
  </si>
  <si>
    <t xml:space="preserve">Formular e implementar el Plan de Seguridad Vial del Departamento </t>
  </si>
  <si>
    <t>Formulación del Plan de Seguridad Vial</t>
  </si>
  <si>
    <t xml:space="preserve">Apoyar la implementación del programa: Ciclorutas en el departamento del Quindío </t>
  </si>
  <si>
    <t>Generear oportunidades institucionales a través de procesos de gestion orientados a insentivar programas de movilidad sostenible en la jurisdiccion del I.D.T.Q</t>
  </si>
  <si>
    <t>Campañas de difusión y sensibilización a la población del Programa Nacional de ciclorutas</t>
  </si>
  <si>
    <t>SECRETARIO DE DESPACHO</t>
  </si>
  <si>
    <t>PROGRAMACION PLAN DE ACCIÓN
INDEPORTES
 I TRIMESTRE 2019</t>
  </si>
  <si>
    <t>Apoyo al deporte asociado</t>
  </si>
  <si>
    <t xml:space="preserve"> Ligas deportivas del departamento del Quindío</t>
  </si>
  <si>
    <t xml:space="preserve">Apoyar  y fortalecer veintitrés (23) ligas deportivas.   </t>
  </si>
  <si>
    <t>Ligas deportivas apoyadas y fortalecidas.</t>
  </si>
  <si>
    <t>2234468202-12</t>
  </si>
  <si>
    <t>201663000-0161</t>
  </si>
  <si>
    <t>Apoyo al deporte asociado en el Departamento del Quindio</t>
  </si>
  <si>
    <t xml:space="preserve">Incrementar los niveles de desarrollo en el deporte formativo y competitivo del departamento del quindio
</t>
  </si>
  <si>
    <t xml:space="preserve">Fortalecer los procesos con deportistas de altos logros 
</t>
  </si>
  <si>
    <t>Apoyo a las ligas en los eventos deportivos de carácter federal  (Adquisición de Bienes y Servicios)</t>
  </si>
  <si>
    <t>MONOPOLIO</t>
  </si>
  <si>
    <t>GERENTE GENERAL INDEPORTES</t>
  </si>
  <si>
    <t>2234468202-9</t>
  </si>
  <si>
    <t>RENDIMIENTOS FINANCIEROS</t>
  </si>
  <si>
    <t>2234468202-3</t>
  </si>
  <si>
    <t>Realizar acompañamiento y asesorìa a las ligas y clubes del departamento  (Componente tecnico)</t>
  </si>
  <si>
    <t>IPOCONSUMO</t>
  </si>
  <si>
    <t>2234468202_4</t>
  </si>
  <si>
    <t>ICLD</t>
  </si>
  <si>
    <t>Apoyar  a veinte  (20) deportistas en nivel de talento, de proyección y de altos logros con el programa de incentivos económicos a deportistas.</t>
  </si>
  <si>
    <t>Número de deportistas incentivados.</t>
  </si>
  <si>
    <t>2234468203_4</t>
  </si>
  <si>
    <t>Apoyo a deportistas de alto logros y reserva deportiva (Asistencia social)</t>
  </si>
  <si>
    <t xml:space="preserve"> Apoyo a eventos deportivos</t>
  </si>
  <si>
    <t>Apoyar 13 ligas de los eventos deportivos de carácter federado nacional y departamental</t>
  </si>
  <si>
    <t>Ligas apoyadas en eventos departamental y nacionales.</t>
  </si>
  <si>
    <t>2234469204-4</t>
  </si>
  <si>
    <t>Apoyo  logistico a las 13 ligas estrategicas  (Adquisición de Bienes y Servicios)</t>
  </si>
  <si>
    <t>2234469204_12</t>
  </si>
  <si>
    <t>Juegos intercolegiados</t>
  </si>
  <si>
    <t>Desarrollar cuatro (4) juegos Intercolegiados  en sus diferentes fases.</t>
  </si>
  <si>
    <t>Juegos intercolegiados desarrollados</t>
  </si>
  <si>
    <t>2234470205-12</t>
  </si>
  <si>
    <t>201663000-0162</t>
  </si>
  <si>
    <t>Apoyo a los juegos intercolegiados en el Deparrtamento del Quindìo</t>
  </si>
  <si>
    <t xml:space="preserve">Generar espacios de  competencia para las instituciones educativas, aumentando así el porcentaje de utilización de escenarios deportivos y disminuyendo los índices de sedentarismo
</t>
  </si>
  <si>
    <t xml:space="preserve">Fortalecer programas y actividades deportivas
</t>
  </si>
  <si>
    <t xml:space="preserve">Acompañamiento a la fase departamental y nacional de los juegos intercolegiados (Adquisición de Bienes y Servicios) </t>
  </si>
  <si>
    <t>2234470205-4</t>
  </si>
  <si>
    <t>2234470205-7</t>
  </si>
  <si>
    <t>COLDEPORTES</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</si>
  <si>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</si>
  <si>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</si>
  <si>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Municipios asesorados técnica, administrada y financieramente en los procesos de escuelas deportivas</t>
  </si>
  <si>
    <t>2234471206_12</t>
  </si>
  <si>
    <t>201663000-0163</t>
  </si>
  <si>
    <t>Apoyo al Deporte formativo, deporte social comunitario y juegos  tradicionales en el Departamento del Quindío</t>
  </si>
  <si>
    <t xml:space="preserve">Generar espacios recreo-deportivos, aumentando el porcentaje de utilización de escenarios deportivos y
disminuyendo los índices de consumo de estupefacientes
</t>
  </si>
  <si>
    <t>Fortalecer los espacios recreodeportivos</t>
  </si>
  <si>
    <t>Brindar asesoria a los doce municipios del departamento (Componente tecnico)</t>
  </si>
  <si>
    <t>Desarrollar  1 eventos de deporte social y comunitario.</t>
  </si>
  <si>
    <t>Eventos deportivos social y comunitarios desarrollar.</t>
  </si>
  <si>
    <t>2234471207_12</t>
  </si>
  <si>
    <t>Realizacion de eventos deportivos en el departamento (Adquisición de Bienes y Servicios)</t>
  </si>
  <si>
    <t>Apoyar  técnicamente un 1  evento de  Juegos Comunales en la fase Departamental</t>
  </si>
  <si>
    <t>Juegos comunales apoyados.</t>
  </si>
  <si>
    <t>2234471208_4</t>
  </si>
  <si>
    <t>Realizacion de los juegos comunales en el departamento (Adquisición de Bienes y Servicios)</t>
  </si>
  <si>
    <t>2234471208_12</t>
  </si>
  <si>
    <t>Si Recreación y actividad física para ti</t>
  </si>
  <si>
    <t>Recreación,  para el Bien Común</t>
  </si>
  <si>
    <t>Apoyar de forma articulada el desarrollo del programa (1) "Campamentos Juveniles"</t>
  </si>
  <si>
    <t>Programa de recreación para la juventud diseñado y desarrollado</t>
  </si>
  <si>
    <t>2234572209-3</t>
  </si>
  <si>
    <t>201663000-0164</t>
  </si>
  <si>
    <t xml:space="preserve"> Apoyo a la Recreación,  para el Bien Común en el Departamento del Quindío</t>
  </si>
  <si>
    <t xml:space="preserve">Disminuir los indices de consumo de estupefacientes en los municipios del departamento a través  del desarrollo de espacios recreodeportivos. 
</t>
  </si>
  <si>
    <t>Fortalecer una cultura recreo-deportiva en la poblacion</t>
  </si>
  <si>
    <t>Brindar apoyo tecnico y logistico a campamentos juveniles (Adquisición de Bienes y Servicios)</t>
  </si>
  <si>
    <t>2234572209_7</t>
  </si>
  <si>
    <t>2334572209-3</t>
  </si>
  <si>
    <t>SUPERAVIT IPOCONSUMO</t>
  </si>
  <si>
    <t>Apoyar de forma articulada el programa nuevo comienzo "Otro Motivo para Vivir" (1).</t>
  </si>
  <si>
    <t>Programa nuevo comienzo "Otro Motivo para Vivir" articulado y desarrollado.</t>
  </si>
  <si>
    <t>2234572210_4</t>
  </si>
  <si>
    <t>Apoyo logistico y tecnico al adulto mayor (Adquisición de Bienes y Servicios)</t>
  </si>
  <si>
    <t>2234572210_3</t>
  </si>
  <si>
    <t>2234572210_7</t>
  </si>
  <si>
    <t>2334572210-3</t>
  </si>
  <si>
    <t>Crear y desarrollar una estrategia para articular la actividad recreativa social comunitaria desde la primera infancia hasta las personas mayores.</t>
  </si>
  <si>
    <t>Estrategia creada y desarrollada.</t>
  </si>
  <si>
    <t>2234572211_3</t>
  </si>
  <si>
    <t>Apoyo logistico tecnico (Adquisición de Bienes y Servicio)</t>
  </si>
  <si>
    <t>2234572211_7</t>
  </si>
  <si>
    <t xml:space="preserve"> Actividad física, hábitos y estilos de vida saludables</t>
  </si>
  <si>
    <t xml:space="preserve">implementar un (1) programa que permita ejecutar proyectos  de actividad física para la promoción de hábitos y estilos de vida saludables </t>
  </si>
  <si>
    <t xml:space="preserve">Programa implementado </t>
  </si>
  <si>
    <t>2234573212_3</t>
  </si>
  <si>
    <t>201663000-0165</t>
  </si>
  <si>
    <t>Apoyo a la actividad fisica, salud y productiva en el Departamento del Quindio.</t>
  </si>
  <si>
    <t xml:space="preserve">Disminuir los  índices en el consumo de estupefacientes  y sedentarismo en los municipios del departamento a traves de programa de actividad fisica y habitos saludables
</t>
  </si>
  <si>
    <t xml:space="preserve">Fomentar estios de vida saludable y actividad fisica
</t>
  </si>
  <si>
    <t>Actividades en promoción de hábitos y estilos de vida saludables  (Componente tecnico)</t>
  </si>
  <si>
    <t>2234573212_7</t>
  </si>
  <si>
    <t>Deporte, recreación, actividad fisica en los municipios del departamento del Quindío</t>
  </si>
  <si>
    <t>Apoyar doce (12) municipios en proyectos deportivos, recreactivos y de actividad fisica</t>
  </si>
  <si>
    <t>Numero de municipios apoyados</t>
  </si>
  <si>
    <t>22346741_2</t>
  </si>
  <si>
    <t>201663000-0166</t>
  </si>
  <si>
    <t>Apoyo a proyectos deportivos, recreativos y de actividad fisica, en el Departamento del Quindìo</t>
  </si>
  <si>
    <t>Disminuir los índices del consumo de estupefacientes en los municipios del departamento</t>
  </si>
  <si>
    <t xml:space="preserve">Fortalecer la articulacion interinstitucional
</t>
  </si>
  <si>
    <t>Brindar acompañamiento tecnico a los municipios Otros (Realizar convenios con los doce municipios del departamento para la transferencia de recursos de telefonia movil)</t>
  </si>
  <si>
    <t>Iva telefonia</t>
  </si>
  <si>
    <t xml:space="preserve">GERENTE GENERAL INDEPORTES
</t>
  </si>
  <si>
    <t>PROGRAMACIÓN PLAN DE ACCIÓN
SECRETARIA DE AGUAS E INFRAESTRUCTURA
I TRIMESTRE 2019</t>
  </si>
  <si>
    <t>Territorio Vital</t>
  </si>
  <si>
    <t>Manejo Integral del Agua y Saneamiento Basico</t>
  </si>
  <si>
    <t>Formular y ejecutar veinte (20) proyectos de infraestructura de agua potable y saneamiento básico.</t>
  </si>
  <si>
    <t>No de proyectos de infraestructura formulados y/o ejecutados.</t>
  </si>
  <si>
    <t>0308 - 5 - 3 1 1 1 2 3 22 -04
0308 - 5 - 3 1 1 1 2 3 22 - 27
0308 - 5 - 3 1 1 1 2 3 22 - 82
0308 - 5 - 3 1 1 1 2 3 22 - 90</t>
  </si>
  <si>
    <t>201663000-0022</t>
  </si>
  <si>
    <t>Apoyo en atenciones prioritarias en Agua Potable y/o Saneamiento Básico en el Departamento del Quindío.</t>
  </si>
  <si>
    <t>Formular proyectos de infraestructura para la prestacion de servicios de agua potable y saneamiento basico a la poblacion vulnerable del Departamento.</t>
  </si>
  <si>
    <t>Generar intervenciones prioritaria para la adecuacion y optimizacion de sistemas de APSB.</t>
  </si>
  <si>
    <t>Construcción y/o mantenimiento y/o optimizacion de obras de  Agua Potable y/o Saneamiento Básico en el Departamento del Quindío.</t>
  </si>
  <si>
    <t>04</t>
  </si>
  <si>
    <t xml:space="preserve">Estampilla Prodesarrollo </t>
  </si>
  <si>
    <t>JUAN ANTONIO OSORIO ALVAREZ
SECRETARIO DE AGUAS E INFRAESTRUCTURA</t>
  </si>
  <si>
    <t>SGP Agua Potable y Saneamineto Básico</t>
  </si>
  <si>
    <t>Formular proyectos para ejecutar diferentes proyectos con el fin de brindar un buen servicio de Agua potable y Saneamiento basico.</t>
  </si>
  <si>
    <t>82</t>
  </si>
  <si>
    <t>Superávit Estampilla Prodesarrollo (82)</t>
  </si>
  <si>
    <t>Superávit SGP Agua Potable y Saneamineto Básico (90)</t>
  </si>
  <si>
    <t>0308 - 5 - 3 1 1 1 2 3 23 - 27</t>
  </si>
  <si>
    <t>201663000-0023</t>
  </si>
  <si>
    <t>Construcción y mejoramiento de la infraestructura de agua potable y saneamiento básico del Departamento del Quindio.</t>
  </si>
  <si>
    <t>Infraestructura eficiente para la prestación del servicio de agua potable y saneamiento basico</t>
  </si>
  <si>
    <t>Realizar estudios y diseños enfocados a las necesidades en cuanto a la construccion y mejoramiento de la infraestructura de agua potable y saneamiento basico</t>
  </si>
  <si>
    <t>Construcción y/o mantenimiento y/o optimizacion de obras de  Agua Potable y/o Saneamiento Básico en el Departamento del Quindío</t>
  </si>
  <si>
    <t>Formular,priorizar, viabilizar y ejecutar proyectos de infraestructura de Agua Potable y Saneamiento Basico</t>
  </si>
  <si>
    <t>Apoyar  veinte (20) proyectos de agua potable y saneamiento básico de acuerdo al plan de acompañamiento social</t>
  </si>
  <si>
    <t xml:space="preserve">No de proyectos acompañados </t>
  </si>
  <si>
    <t>0308 - 5 - 3 1 1 1 2 3 24 - 27</t>
  </si>
  <si>
    <t>201663000-0024</t>
  </si>
  <si>
    <t>Ejecución del plan de acompañamiento social a los proyectos y obras de infraestructura de agua potable y saneamiento básico en el Departamento del Quindío</t>
  </si>
  <si>
    <t xml:space="preserve">Ejecutar el plan de aseguramiento social para los proyectos de agua potable y saneamiento básico Aguas del Departamento del Quindío
</t>
  </si>
  <si>
    <t>Seguimiento a la socializacion de proyectos de Agua potable y Saneamiento Basico.</t>
  </si>
  <si>
    <t>Campañas de Socialización de proyectos de agua potable y saneamiento básico</t>
  </si>
  <si>
    <t xml:space="preserve"> Diseño de estrategias de participacion de la comunidad en los proyectos de agua potable y saneamiento basico.</t>
  </si>
  <si>
    <t>Actualizar e implementar el plan ambiental para el sector de agua potable y saneamiento básico</t>
  </si>
  <si>
    <t>Plan ambiental actualizado e implementado</t>
  </si>
  <si>
    <t>0308 - 5 - 3 1 1 1 2 3 25 - 27</t>
  </si>
  <si>
    <t>201663000-0025</t>
  </si>
  <si>
    <t>Actualización e implementación del  Plan Ambiental para el sector de agua potable y saneamiento básico en el Departamento del Quindío</t>
  </si>
  <si>
    <t>Ejecutar el Plan Ambiental para el sector agua potable y saneamiento básico deacuerdo al decreto 1077 de 2015 para la vigencia 2016 - 2019</t>
  </si>
  <si>
    <t>Descripción actual de la oferta y la demanda de los recursos naturales asociados a la prestación de los servicios públicos de acueducto, alcantarillado y aseo. 
Prever las fuentes de financiación de ley asociadas a est componente de los entes territoriales y la Corporación Autónoma Regional del Quindío, las Empresas Prestadoras de servicios públicos, exenciones tributarias, recursos de cooperación internacional, mecanismos de crédito y financiación, recursos de banca multilateral, entre otros. 
Definir el cumplimiento de los mínimos ambientales para los proyectos de acueducto, alcantarillado y aseo en el Plan ambiental para el sector de agua potable y saneamiento básico.
Definir citerios para la priorización de proyectos de saneamiento y articularlos con los instrumentos de planificación de las entidades territoriales y Corporación Autónoma Regional del Quindío CRQ para garantizar la prestación de los servicios de acueducto, alcantarillado y aseo de los 11 municipios del departamento del Quindío.  
Concertar obras e inversines entre el departamento, el gestor y la Corporación Autónoma Regional del Quindío on base en el diagnóstico del sector, la priorización de proyectos y las inversiones disponibles.</t>
  </si>
  <si>
    <t>Actualización e implementacion del Plan Ambiental para el Sector de Agua Potable y Saneamiento Básico</t>
  </si>
  <si>
    <t>Ejecutar tres (3) proyectos para el aseguramiento de la prestación de los servicios públicos de agua potable y saneamiento básico urbano y rural</t>
  </si>
  <si>
    <t xml:space="preserve">No de proyectos ejecutados para el aseguramiento de la prestación de servicios </t>
  </si>
  <si>
    <t>0308 - 5 - 3 1 1 1 2 3 26 - 27</t>
  </si>
  <si>
    <t>201663000-0026</t>
  </si>
  <si>
    <t>Ejecución del plan de aseguramiento de la prestación de los servicios públicos de agua potable y saneamiento básico urbano y rural en el Departamento del Quindío</t>
  </si>
  <si>
    <t xml:space="preserve">Ejecución del Plan de asegurameinto de la prestación de servicios públicos de agua potable y saneamiento básico urbano y rural en el departamento del Quindío </t>
  </si>
  <si>
    <t xml:space="preserve">Promover esquemas empresariales sostenibles en el corto, mediano y largo plazo </t>
  </si>
  <si>
    <t>Actualizacion y/o  ejecucion del plan de Aseguramiento de la prestación de servicios</t>
  </si>
  <si>
    <t xml:space="preserve">Contratar el grupo gestor del PAP-PDA Quindío  </t>
  </si>
  <si>
    <t>Estructurar el equipo operativo de apoyo al gestor del PAP PDA</t>
  </si>
  <si>
    <t xml:space="preserve">2. </t>
  </si>
  <si>
    <t xml:space="preserve">PROSPERIDAD CON EQUIDAD </t>
  </si>
  <si>
    <t xml:space="preserve">4. </t>
  </si>
  <si>
    <t>INFRAESTRUCTURA SOSTENIBLE PARA LA PAZ</t>
  </si>
  <si>
    <t>14.</t>
  </si>
  <si>
    <t>MEJORA DE LA INFRAESTRUCTURA VIAL DEL DEPARTAMENTO DEL QUINDIO</t>
  </si>
  <si>
    <t>Mantener, mejorar y/o rehabilitar ciento treinta (130) km de vías del Departamento para la implementación del Plan Vial Departamental.</t>
  </si>
  <si>
    <t>Km de vías del departamento mantenidas, mejoradas y/o rehabilitadas</t>
  </si>
  <si>
    <t>201663000-0019</t>
  </si>
  <si>
    <t>Mantener, mejorar, rehabilitar y/o atender las vias y sus emergencias, en cumplimiento del plan vial del Departamento del quindio</t>
  </si>
  <si>
    <t>Mantener, mejorar y/o rehabilitar la infraestructura vial del departamento del quindío.</t>
  </si>
  <si>
    <t xml:space="preserve">Atender oportunamente y con calidad la infraestructura vial del departamento con mantenimiento y rehabilitación </t>
  </si>
  <si>
    <t>Insumos para operación y mantenimiento preventivo y correctivo de la maquinaria amarilla</t>
  </si>
  <si>
    <t xml:space="preserve">SOBRETASA AL ACPM (23)
</t>
  </si>
  <si>
    <t>Asistencia profesional y tecnica para el mejoramiento vial del Departamento del Quindio.</t>
  </si>
  <si>
    <t>0308 - 5 - 3 1 2 4 14 9 19 - 23</t>
  </si>
  <si>
    <t>Mantener, mejorar y/o rehabilitar la Infraestructura Vial del Departamento del Quindio</t>
  </si>
  <si>
    <t>RECURSO DEL CREDITO (46)</t>
  </si>
  <si>
    <t>Superávit Recursos del Crédito (157)</t>
  </si>
  <si>
    <t>0308 - 5 - 3 1 2 4 14 9 19 - 46</t>
  </si>
  <si>
    <t>Asistencia externa para el control y seguimiento de la correcta ejecucion de los contratos de Infraestructura Vial.</t>
  </si>
  <si>
    <t>Apoyar la atención de emergencias viales en los doce (12) Municipios del Departamento del Quindío.</t>
  </si>
  <si>
    <t>Numero de municipios con emergencias viales apoyados</t>
  </si>
  <si>
    <t>Atención oportuna y eficiente de las emergencias viales en el departamento del Quindìo.</t>
  </si>
  <si>
    <t>Transporte, materiales y equipos.</t>
  </si>
  <si>
    <t xml:space="preserve">SOBRETASA AL ACPM (23)-
</t>
  </si>
  <si>
    <t>0308 - 5 - 3 1 2 4 14 9 19 - 157</t>
  </si>
  <si>
    <t>RECURSOS DEL CREDITO (46)</t>
  </si>
  <si>
    <t>Recurso humano necesarios para la atencion de emergencias viales</t>
  </si>
  <si>
    <t>0308 - 5 - 3 1 2 4 14 9 19 - 89</t>
  </si>
  <si>
    <t xml:space="preserve">SUPERÁVIT SOBRETASA AL ACPM (89)
</t>
  </si>
  <si>
    <t>Obra Fisica requerida para la atencion de emergencias viales</t>
  </si>
  <si>
    <t xml:space="preserve">15. </t>
  </si>
  <si>
    <t>MEJORA DE LA INFRAESTRUCTURA SOCIAL DEL DEPARTAMENTO DEL QUINDIO</t>
  </si>
  <si>
    <t>Mantener, mejorar y/o rehabilitar la Infraestructura de cuarenta y ocho (48) instituciones educativas en el departamento del Quindío.</t>
  </si>
  <si>
    <t>Numero de instituciones educativas mantenidas, mejoradas y/o rehabilitadas</t>
  </si>
  <si>
    <t>0308 - 5 - 3 1 2 4 15 15 21 - 04
0308 - 5 - 3 1 2 4 15 15 21 - 46
0308 - 5 - 3 1 2 4 15 15 21 - 20
0308 - 5 - 3 1 2 4 15 1 21 - 04
0308 - 5 - 3 1 2 4 15 1 21 - 82
0308 - 5 - 3 1 2 4 15 7 21 - 46
0308 - 5 - 3 1 2 4 15 15 2 - 56
0308 - 5 - 3 1 2 4 15 15 21 - 82</t>
  </si>
  <si>
    <t>201663000-0021</t>
  </si>
  <si>
    <t>Construir, mantener, mejorar y/o rehabilitar la infraestructura social del Departamento del quindio</t>
  </si>
  <si>
    <t>Construir, mantener, mejorar y/o rehabilitar la infraestructura social del departamento del Quindío.</t>
  </si>
  <si>
    <t>Mantener en buen estado la infraestructura y asequible la infraestructura social del departamento del Quindío</t>
  </si>
  <si>
    <t>1.1 Transporte, elementos, materiales, equipos e insumos infraestructura educativa</t>
  </si>
  <si>
    <t>ESTAMPILLA PRO - DESARROLLO (04)</t>
  </si>
  <si>
    <t>1.2 Asistencia profesional- tecnica y mano de obra Infraestructura educativa</t>
  </si>
  <si>
    <t>1.3 Mantener, mejorar y/o rehabilitar la Infraestructura educativa del Departamento del Quindio.</t>
  </si>
  <si>
    <t>SUPERÁVIT ESTAMPILLA PRO - DESARROLLO (82)</t>
  </si>
  <si>
    <t>1.4 Asistencia externa para el control y seguimiento de la correcta ejecucion de los contratos en Infraestructura educativa</t>
  </si>
  <si>
    <t>Apoyar la construcción, mejoramiento y/o rehabilitación de cuatro (4) obras de infraestructura de salud del departamento del Quindío</t>
  </si>
  <si>
    <t>Numero de instituciones de salud mejoradas y/o apoyadas</t>
  </si>
  <si>
    <t>2.1 Obra Fisica Infraestructura de Salud</t>
  </si>
  <si>
    <t>2.2 Asistencia externa para el control y seguimiento de la correcta ejecucion de los contratos en Infraestructura de Salud</t>
  </si>
  <si>
    <t>Apoyar la construcción, mejoramiento y/o  rehabilitación de la infraestructura de doce (12) escenarios deportivos y/o recreativos en el departamento del Quindío</t>
  </si>
  <si>
    <t>Número de escenarios deportivo o recreativo  apoyado</t>
  </si>
  <si>
    <t>3.1 Transporte, elementos, materiales, equipos e insumos Infraestructura deportiva</t>
  </si>
  <si>
    <t xml:space="preserve">ESTAMPILLA PRO - DESARROLLO (04)
</t>
  </si>
  <si>
    <t>3.2 Asistencia profesional - tecnica y mano de obra de Infraestructura deportiva</t>
  </si>
  <si>
    <t>3.3 Mantener, mejorar y/o rehabilitar la Infraestructura deportiva del Departamento del Quindio.</t>
  </si>
  <si>
    <t>3.4 Asistencia externa para el control y seguimiento de la correcta ejecucion de los contratos en infraestructura deportiva</t>
  </si>
  <si>
    <t>Apoyar la construcción, el mantenimiento, el mejoramiento y/o la rehabilitación de la infraestructura de doce (12) equipamientos públicos y colectivos del Departamento del Quindío.</t>
  </si>
  <si>
    <t>Número de  equipamientos públcos  y colectivos rehabilitados</t>
  </si>
  <si>
    <t>4.1 Transporte, elementos, materiales, equipos e insumos Infraestructura Equipamientos publicos y colectivos</t>
  </si>
  <si>
    <t xml:space="preserve">RECURSO ORDINARIO (20)
</t>
  </si>
  <si>
    <t>4.2 Construir, mantener, mejorar y/o rehabilitar la infraestructura Social del Departamento del Quindio</t>
  </si>
  <si>
    <t>Apoyar la construcción, el mantenimiento, el mejoramiento y/o la rehabilitación de dos (2) obras físicas de infraestructura  Institucional o de edificios públicos del Departamento del Quindío.</t>
  </si>
  <si>
    <t>Numero de edificios públicos e infraestructura institucional apoyados</t>
  </si>
  <si>
    <t>5.1 Construir, mantener, mejorar y/o rehabilitar la Infraestructura Institucional o de edificios publicos del Departamento del Quindio.</t>
  </si>
  <si>
    <t>5.2 Asistencia externa para el control y seguimiento de la correcta ejecucion de los contratos en Infraestructura Institucional o de edificios publicos en el departamento del Quindio.</t>
  </si>
  <si>
    <t>Apoyar la construcción y  el mejoramiento de mil (1000) viviendas urbana y rural priorizada en el departamento del Quindío.</t>
  </si>
  <si>
    <t>Número de viviendas apoyadas</t>
  </si>
  <si>
    <t>6.1 Mejoramiento de vivienda</t>
  </si>
  <si>
    <t xml:space="preserve">Desarrollar tres (3) ejercicios de presupuesto participativo con la ciudadanía, para la priorización de recursos de infraestructura física en el Departamento </t>
  </si>
  <si>
    <t xml:space="preserve">Desarrollar tres (3) ejercicios de presupuesto participativo con la ciudadanía, para la priorización de recursos de infraestructura física en el departamento </t>
  </si>
  <si>
    <t xml:space="preserve">7.1 Evento Socializacion ejercicio participativo </t>
  </si>
  <si>
    <t>RECURSO ORDINARIO (20)</t>
  </si>
  <si>
    <t>0308 - 5 - 3 1 2 4 15 15 2 - 56</t>
  </si>
  <si>
    <t>2018003630- 002</t>
  </si>
  <si>
    <t xml:space="preserve">Contrucción Cancha Sintetica y Adecuación del Polideportivo en el Sector el Naranjal, Quimbaya Quindio </t>
  </si>
  <si>
    <t>Incrementar los niveles de práctica deportiva</t>
  </si>
  <si>
    <t>Aumentar los espacios para la prácticas deportivas</t>
  </si>
  <si>
    <t>Construcion Cancha Sintetica y Adecuacion del Polideportivo en el Sector de Naranjal, Quimbaya Quindio</t>
  </si>
  <si>
    <t>RECURSOS NACIONALES</t>
  </si>
  <si>
    <t>TOTAL:</t>
  </si>
  <si>
    <t>Juan Antonio Osorio Alvarez</t>
  </si>
  <si>
    <t xml:space="preserve">Secretario de Aguas e Infraestructura </t>
  </si>
  <si>
    <t>Departamento del Quindio</t>
  </si>
  <si>
    <t xml:space="preserve">Proyecto y elaboro: </t>
  </si>
  <si>
    <t xml:space="preserve"> Carlos Enrique Penagos Mejia, Apoyo Financiero PAP- PDA SAID</t>
  </si>
  <si>
    <t xml:space="preserve">  </t>
  </si>
  <si>
    <t>Dalila Oyola Moreno, Apoyo Financiero PAP-PDA SAID</t>
  </si>
  <si>
    <t>Ana Milena Rincon B, Apoyo Financiero Direccion Vial - Social SAID</t>
  </si>
  <si>
    <t>PROGRAMACION PLAN DE ACCIÓN
SECRETARIA DEL INTERIOR
I TRIMESTRE 2019</t>
  </si>
  <si>
    <t>Edad Económicamente
Activa (20-59 años)</t>
  </si>
  <si>
    <t>SEGURIDAD HUMANA COMO DINAMIZADOR DE LA VIDA, DIGNIDAD Y LIBERTAD EN EL QUINDÍO</t>
  </si>
  <si>
    <t>SEGURIDAD CIUDADANA PARA PREVENCIÓN Y CONTROL DEL DELITO</t>
  </si>
  <si>
    <t>Apoyar la implementación de seis (6) programas de resocialización  en establecimientos carcelarios  del Departamento (sustento legal 1709 de 2014)</t>
  </si>
  <si>
    <t>Numero de programas de resocialización apoyados</t>
  </si>
  <si>
    <t>201663000-0028</t>
  </si>
  <si>
    <t>Construcción integral de la seguridad humana en el Departamento del Quindío</t>
  </si>
  <si>
    <t xml:space="preserve">Redicir la tasa de homicidios en el Quindío
Reducir casos de hurto a residencias,comercio y personas.
</t>
  </si>
  <si>
    <t xml:space="preserve">1. Obtención de resultados en las estrategias implementadas en la prevención y mitigación del delito
2. Garantías para el ejercicio  de la libertad en todos sus ambitos
3. Incremento de  cobertura en instrumentos operativos y logísticos para la atención y prevención del de delito que afectan a la comunidad.
</t>
  </si>
  <si>
    <t>Apoyo para iniciativas,actividades y/o proyectos productivos</t>
  </si>
  <si>
    <t xml:space="preserve">
Recurso Ordinario
</t>
  </si>
  <si>
    <t>SECRETARIO DEL INTERIOR</t>
  </si>
  <si>
    <t>Superavit
Fondos de seguridad 5%</t>
  </si>
  <si>
    <t>Fortalecer 10 programas de prevención y superación del Sistema de responsabilidad penal para adolescentes</t>
  </si>
  <si>
    <t>Número de programas de prevención y superación fortalecidos</t>
  </si>
  <si>
    <t>Apoyo para iniciativas,actividades y/o proyectos productivos dirigidoa a población de infancia y adolescencia</t>
  </si>
  <si>
    <t>Apoyar la construcción, refacción o adecuación de  seis (6) estaciones de policía y/o guarniciones militares y/o instituciones carcelarias</t>
  </si>
  <si>
    <t>Número de estaciones de policía y/o guarniciones militares y/o instituciones carcelarias apoyadas</t>
  </si>
  <si>
    <t xml:space="preserve">Adquisición de materiales para la construcción </t>
  </si>
  <si>
    <t xml:space="preserve">
Recurso Ordinario
</t>
  </si>
  <si>
    <t>Adquisición de terrenos para construcción  de UBICAR (Unidad Básica de carabineros)</t>
  </si>
  <si>
    <t xml:space="preserve">Intervención en obras menores </t>
  </si>
  <si>
    <t xml:space="preserve">Recurso Ordinario
</t>
  </si>
  <si>
    <t>Dotar cinco (5) organismos de seguridad de del departamento con elementos tecnológicos y logísticos que faciliten su operatividad y capacidad de respuesta</t>
  </si>
  <si>
    <t>Número de organismos de seguridad y/o de régimen carcelario dotados</t>
  </si>
  <si>
    <t>Financiación del proyecto de tecnología en seguridad</t>
  </si>
  <si>
    <t>Fondos de seguridad 5%</t>
  </si>
  <si>
    <t xml:space="preserve">Financiación y/o coofinaciación de proyectos de móvilidad </t>
  </si>
  <si>
    <t>Suministro de combustible</t>
  </si>
  <si>
    <t>Arrendamientos de oficinas para organismos de seguridad</t>
  </si>
  <si>
    <t>0309 - 5 - 3 1 4 23 75 18 28 - 20</t>
  </si>
  <si>
    <t xml:space="preserve">Adecuación de tecnología en salas de organismos de seguridad </t>
  </si>
  <si>
    <t>Suministro de alimentación</t>
  </si>
  <si>
    <t>0309 - 5 - 3 1 4 23 75 18 28 - 42</t>
  </si>
  <si>
    <t>Pago a fuentes humanas</t>
  </si>
  <si>
    <t>Adquisición de bienes muebles necesarios para el funcionamiento de la diferentes iniciativas o programas de los oraganismos de seguridad del departamento</t>
  </si>
  <si>
    <t>Adquisición de bienes inmuebles para los organismos de seguridad</t>
  </si>
  <si>
    <t>Adquisición de bienes y suministro, para material de intendencia y logística</t>
  </si>
  <si>
    <t>0309 - 5 - 3 1 4 23 75 18 28 - 92</t>
  </si>
  <si>
    <t>Impresos y publicidad.</t>
  </si>
  <si>
    <t>Servicios de apoyo en procesos tecnológicos de seguridad en el departamento</t>
  </si>
  <si>
    <t>Servicios de apoyo en estudios financieros y ecónomicos de los diferentes procesos para los organismos de seguridad</t>
  </si>
  <si>
    <t>Servicios de apoyo para los procesos de adquisición de bienes y servicios con cargo a los organismos de seguridad del departamento</t>
  </si>
  <si>
    <t xml:space="preserve">Prestación de Servicios y/o suministro de logística, material de intendencia o demás programas y/o estrategias relacionados con los organismos de seguridad </t>
  </si>
  <si>
    <t>Apoyar 3 observatorios locales del delito</t>
  </si>
  <si>
    <t>Número de observatorios del delito apoyados</t>
  </si>
  <si>
    <t>Levantamiento de información, investigación y análisis de hechos y conductas delicitas en el departamento del Quindío</t>
  </si>
  <si>
    <t>Dotación tecnologíca, de comunicaciones   y/o logistica para los programas, proyectos  o estrategías de pevención y seguridad en el departamento del Quindío</t>
  </si>
  <si>
    <t>30/082019</t>
  </si>
  <si>
    <t>CONVIVENCIA, JUSTICIA Y CULTURA DE PAZ</t>
  </si>
  <si>
    <t>Apoyar la implementación de treinta y seis (36) programas de prevención del delito y mediación de conflictos en comunidades focalizadas del departamento</t>
  </si>
  <si>
    <t>Programas de prevención del delito y mediación de conflictos apoyados</t>
  </si>
  <si>
    <t>201663000-0029</t>
  </si>
  <si>
    <t xml:space="preserve">Apoyo a la convivencia, justicia y cultura de paz en el Departamento del Quindío </t>
  </si>
  <si>
    <t xml:space="preserve">Reducir la tasa de homicidios en el Quindío.
</t>
  </si>
  <si>
    <t xml:space="preserve">1. Articulación en los diferentes programas de las entidades estatales en materia de convivencia. 
2.. Identificación de las necesidades reales en las comunidades focalizadas   
3.Reglamentación actualizada en materia de seguridad y orden público
</t>
  </si>
  <si>
    <t xml:space="preserve">Intervenciones psicosocilales, y/o de formación productiva integrales en los 11 barrios focalizados </t>
  </si>
  <si>
    <t xml:space="preserve">
20
</t>
  </si>
  <si>
    <t xml:space="preserve">Recurso 
ordinario
</t>
  </si>
  <si>
    <t xml:space="preserve">SECRETARIO DEL INTERIOR
</t>
  </si>
  <si>
    <t xml:space="preserve">
92</t>
  </si>
  <si>
    <t>Implementación de programas ludicos,culturales y/o deportivos  para población vulnerable en areas focalizadas</t>
  </si>
  <si>
    <t xml:space="preserve">
Recurso 
ordinario
</t>
  </si>
  <si>
    <t xml:space="preserve">Generación y/o apoyo a programas de intervención social y/o de seguridad </t>
  </si>
  <si>
    <t>0309 - 5 - 3 1 4 23 76 18 29 - 20</t>
  </si>
  <si>
    <t>Logística, refrigerios,transporte y/o combustible</t>
  </si>
  <si>
    <t>Atencion integral de Barrios con situacion critica de convivencia en los 12 Municipios  del Departamento</t>
  </si>
  <si>
    <t>Municipios con atencion integral</t>
  </si>
  <si>
    <t xml:space="preserve">Intervenciones Psicosociales y/o de formación productiva integrales en los cinco municipios focalizados </t>
  </si>
  <si>
    <t>0309 - 5 - 3 1 4 23 76 18 29 - 92</t>
  </si>
  <si>
    <t>Elaboración y/o difusión de campañas de intervención social y prevención del delito en los municipios del departamento</t>
  </si>
  <si>
    <t xml:space="preserve">
Superavit
Fondos de seguridad 5%</t>
  </si>
  <si>
    <t>Actualizar e implementar el Plan Integral de Seguridad y Convivencia Ciudadana (PISCC)</t>
  </si>
  <si>
    <t>Plan integral de seguridad y convivencia ciudadana actualizado e implementado</t>
  </si>
  <si>
    <t>Seguimiento y ejecución de los objetivos del PISCC</t>
  </si>
  <si>
    <t>CONSTRUCCION DE PAZ Y RECONCILIACION EN EL QUINDÍO</t>
  </si>
  <si>
    <t>PLAN DE ACCIÓN TERRITORIAL PARA LAS VICTIMAS DEL CONFLICTO</t>
  </si>
  <si>
    <t xml:space="preserve">Apoyar la articulación para la atención integral de las víctimas del conflicto por enfoque diferencial en  los 12 municipios del departamento
</t>
  </si>
  <si>
    <t xml:space="preserve">Número de municipios con procesos de articulación apoyados </t>
  </si>
  <si>
    <t>0309 - 5 - 3 1 4 24 78 14 30 - 20
0309 - 5 - 3 1 4 24 78 14 30 - 88</t>
  </si>
  <si>
    <t>201663000-0030</t>
  </si>
  <si>
    <t>Implementación del plan de acción territorial para la prevención, protección, asistencia, atención, y reparación integral en el Departamento del Quindío</t>
  </si>
  <si>
    <t xml:space="preserve">Incremento del porcentaje de cumplimiento de ley  1448 de 2011 atención a víctimas, que garantice  el goce efectivo de derechos
</t>
  </si>
  <si>
    <t xml:space="preserve">1.Entidades territoriales con asignación presupuestal por necesidad identificada 
2.Procesos de paz en ejecución  para el fin del conflicto 
3.Articulación institucional.
</t>
  </si>
  <si>
    <t>Socialización de rutas de protección a las organizaciones de victimas de los 12 municipios del Departamento</t>
  </si>
  <si>
    <t>Recurso ordinario</t>
  </si>
  <si>
    <t>Apoyo a municipios priorizados para reparacion colectiva</t>
  </si>
  <si>
    <t>Brindar informacion y orientación a las victimas del conflicto de los 12 municipios del departamento</t>
  </si>
  <si>
    <t>Brindar asistencia y capacitacion a las organizaciones con enfoque diferencial y mesas de participación efectiva de victimas en los 12 municipios del Departamento en la ley de victimas y restitución de tierras y sus enfoques reglamentarios</t>
  </si>
  <si>
    <t xml:space="preserve">Apoyo a iniciativas que aportan a la Memoria Historica en el Departamento </t>
  </si>
  <si>
    <t>Realizar jornadas de prevencion a vulneraciones de DDHH y DIH a las mesas de participación efectiva de victimas en los 12 municipios del Departamento</t>
  </si>
  <si>
    <t>Apoyo a proyectos productivos población víctima</t>
  </si>
  <si>
    <t>Superavit ordinario</t>
  </si>
  <si>
    <t>Logística y/o refrigerios</t>
  </si>
  <si>
    <t>Apoyar  la atención humanitaria inmediata a la población víctima del conflicto en los 12 municipios</t>
  </si>
  <si>
    <t>Número de municipios apoyados en la atención humanitaria inmediata</t>
  </si>
  <si>
    <t>Concurrir, complementar y subsidiar los kits de ayuda  humanitaria inmediata en los 12 municipios del Quindio</t>
  </si>
  <si>
    <t xml:space="preserve">Apoyar los procesos de retorno y reubicación de las victimas del conflicto armado, en caso de ser requerido </t>
  </si>
  <si>
    <t xml:space="preserve">Fortalecer el Comité departamental de justicia transicional y la mesa de participación efectiva de las víctimas del conflicto </t>
  </si>
  <si>
    <t>Número de instancias de participación fortalecidas</t>
  </si>
  <si>
    <t xml:space="preserve">Garantias para Sesiones comité ejecutivo y ética mesa de victimas </t>
  </si>
  <si>
    <t>Garantias para Sesiones plenario mesa departamental de  victimas</t>
  </si>
  <si>
    <t xml:space="preserve">Apoyo al Plan de Trabajo de la mesa Departamental de Victimas </t>
  </si>
  <si>
    <t xml:space="preserve">Garantias para representates de la mesa departamental de victimas para asistir a las Sesiones del  Comité Departamental de Justicia Transicional </t>
  </si>
  <si>
    <t>Garantias para representates de la mesa departamental de victimas para asistir a las Sesiones de los subcomites departamentales de justicia transcional</t>
  </si>
  <si>
    <t xml:space="preserve">Apoyar la construcción y la actualización de los Planes de Acción Territorial de victimas PAT municipales y  el PAT departamental </t>
  </si>
  <si>
    <t>Número de Planes acción territorial de víctimas apoyados</t>
  </si>
  <si>
    <t>Procesos de articulación asistencia y atención a los municipios y su población víctima Sesiones de Comites y Subcomites</t>
  </si>
  <si>
    <t xml:space="preserve">Brindar asistencia a los 12 municipios del Departamento para las actualizaciones de los PAT municipales de manera armonica con el PAT departamental. </t>
  </si>
  <si>
    <t xml:space="preserve">
Diseñar e implementar el sistema de información para la prevención, atención, asistencia y reparación integral a las víctimas del conflicto armado interno </t>
  </si>
  <si>
    <t>Sistema de información diseñado e implementado</t>
  </si>
  <si>
    <t>Seguimiento a implementación  de la Herramienta de Gestión Local en los 12 municipios del Departamento</t>
  </si>
  <si>
    <t>Implementación del Plan Operativo de Sistemas de Información POSI</t>
  </si>
  <si>
    <t>Apoyo a procesos de caracterización de los municipios, cuando sea requerido por estos</t>
  </si>
  <si>
    <t>PROTECCIÓN Y GARANTÍAS DE NO REPETICIÓN</t>
  </si>
  <si>
    <t>Implementar el plan integral de prevención a las violaciones de  Derechos Humanos DDHH e infracciones  al Derecho Internacional Humanitario DIH</t>
  </si>
  <si>
    <t>Plan de prevención de violaciones de  DDHH e infracciones  del  DIH implementado</t>
  </si>
  <si>
    <t>0309 - 5 - 3 1 4 24 79 14 32 - 20
0309 - 5 - 3 1 4 24 79 14 32 - 88</t>
  </si>
  <si>
    <t>201663000-0032</t>
  </si>
  <si>
    <t>Implementación del Plan Integral de prevención de vulneraciones de los Derechos Humanos DDHH e infracciones  al Derecho Internacional Humanitario DIH en el departamento del Quindio</t>
  </si>
  <si>
    <t xml:space="preserve">Promoción de sociedades pacíficas e inclusivas para el desarrollo sostenible,facilitar el acceso a la justicia para todos y crear instituciones eficace, responsables e inclusivas a toodos los niveles (ODS 16). 
</t>
  </si>
  <si>
    <t xml:space="preserve">1.Empleo y control social en las zonas de influencia del comercio de estupefacientes 
2.Control de las organizaciónes y  grupos delicuenciales por la influencia de organizaciones de otras regiones  al margen de la ley
3.Complementar las acciones municipales de manera integral. 
</t>
  </si>
  <si>
    <t xml:space="preserve">Actualización e implementación del plan integral de prevención de vulneración de DDHH  </t>
  </si>
  <si>
    <t>Realizar jornadas de socialización en rutas de protección a Juntas de Acción Comunal en los 12 municipios del Departamento</t>
  </si>
  <si>
    <t xml:space="preserve">Apoyar en los doce (12) municipios la articulación institucional para la prevención a las violaciones DDHH  e infracciones al DIH </t>
  </si>
  <si>
    <t xml:space="preserve">Número de municipios apoyados </t>
  </si>
  <si>
    <t>Foro de Derechos Humanos</t>
  </si>
  <si>
    <t>Superavít ordinario</t>
  </si>
  <si>
    <t>Realizar jornadas de capacitación para la  prevencion y sensibilizacion de los Derechos Humanos en los 12 municipios del Departamento</t>
  </si>
  <si>
    <t xml:space="preserve">Actualizar e Implementar el plan lucha contra la trata de personas
</t>
  </si>
  <si>
    <t>Programa de atención integral a victimas de trata de personas actualizado e  implementado</t>
  </si>
  <si>
    <t xml:space="preserve">Jornadas de prevención del delito de trata de personas  en los 12 municipios del Departamento </t>
  </si>
  <si>
    <t xml:space="preserve">Jornadas de prevención y sensibilización del delito de trata de personas en los 12 municipios del Departamento </t>
  </si>
  <si>
    <t>Ayuda Humanitaria para victimas de trata de personas</t>
  </si>
  <si>
    <t>PREPARADOS PARA LA PAZ</t>
  </si>
  <si>
    <t>Implementar plan de acción de Derechos Humanos articulado interinstitucionalmente, de  protección de los Derechos Humanos DDHH y la Paz en los doce (12) municipios del departamento</t>
  </si>
  <si>
    <t>Numero de municipios con programa de fortalecimiento de las instancias de participación implementado</t>
  </si>
  <si>
    <t>0309 - 5 - 3 1 4 24 80 14 34 - 20
0309 - 5 - 3 1 4 24 80 14 34 - 88</t>
  </si>
  <si>
    <t>201663000-0034</t>
  </si>
  <si>
    <t>Construcción de la Paz Territorial en el Departamento del Quindio</t>
  </si>
  <si>
    <t xml:space="preserve">Promoción de sociedades pacíficas e inclusivas para el desarrollo sostenible,facilitar el acceso a la justicia para todos y crear instituciones eficaces, responsables e inclusivas a toodos los niveles (ODS 16). 
</t>
  </si>
  <si>
    <t xml:space="preserve">1. Factores generadores  de expresión de valores,actidudes,tradiciones y patrones de comporatmiento de respeto a la vida,los DDHH y la libertad de expresón 
2. Creación de una cultura en DDHH e igualdad y no discriminación 
</t>
  </si>
  <si>
    <t>Apoyar el seguimiento de los planes de DDHH de los 12 municipios del Departamento.</t>
  </si>
  <si>
    <t>Acompañamiento a Comites Municipales de Derechos Humanos que estén creados y funcionando.</t>
  </si>
  <si>
    <t xml:space="preserve">Apoyar y articular en los doce (12) municipios  del departamento las actuaciones institucionales en procura de la garantía de la construcción de paz </t>
  </si>
  <si>
    <t>Número de municipios apoyados y articulados</t>
  </si>
  <si>
    <t>Fortalecer Consejo Departamental de Paz, Reconciliación, Convivencia, DDHH y DIH.</t>
  </si>
  <si>
    <t>Foro DDHH.</t>
  </si>
  <si>
    <t>Socialización de implementación de los acuerdos en el Departamento.</t>
  </si>
  <si>
    <t>Logistica y Refrigerios</t>
  </si>
  <si>
    <t>Papeleria</t>
  </si>
  <si>
    <t>Apoyo para la Politica de Reintegrados</t>
  </si>
  <si>
    <t>Superavít Ordinario</t>
  </si>
  <si>
    <t>Acciones en pro de la construcción de paz</t>
  </si>
  <si>
    <t>EL QUINDIO DEPARTAMENTO RESILIENTE</t>
  </si>
  <si>
    <t>QUINDIO PROTEGIENDO EL FUTURO</t>
  </si>
  <si>
    <t xml:space="preserve">Realizar catorce (14) estudios de riesgo y análisis de vulnerabilidad en  los municipios del departamento </t>
  </si>
  <si>
    <t>Número de estudios de riesgo analizados</t>
  </si>
  <si>
    <t>0309 - 5 - 3 1 4 25 81 12 36 - 20</t>
  </si>
  <si>
    <t>201663000-0036</t>
  </si>
  <si>
    <t xml:space="preserve">Administración del  riesgo mediante el conocimiento, la reducción y el manejo del desastre  en el Departamento del Quindio. </t>
  </si>
  <si>
    <t xml:space="preserve">Lograr que las ciudadaes y los asentamientos humanos sean inclusivos,resilientes y sostenibles (ODS-objetivo 11)
</t>
  </si>
  <si>
    <t xml:space="preserve">1. Conocimiento de los riesgos en el departamento.
2. Diseñar modelos de reducción del riesgo en el departamento.
3. Fortalecer las instituciones  para el adecuado manejo de los desastres.  
</t>
  </si>
  <si>
    <t xml:space="preserve">Realizar estudios de riesgo y análisis de vulnerabilidad en  los municipios del departamento </t>
  </si>
  <si>
    <t xml:space="preserve">Apoyar a ciento cincuenta (150) instituciones educativas del departamento en la formulación de Planes Escolares de Gestión del Riesgo (PGERD) </t>
  </si>
  <si>
    <t xml:space="preserve">Número de instituciones educativas apoyadas en la formulación de los PGERD  </t>
  </si>
  <si>
    <t>Conocimiento manejo y reducción del riesgo en el departamento</t>
  </si>
  <si>
    <t xml:space="preserve">Formulación de los planes escolares de gestión del riesgo
</t>
  </si>
  <si>
    <t>Apoyar a los doce (12) municipios del departamento en procesos de educación a las comunidades frente a la prevención y preparación para las emergencias por fenómenos de origen natural y/o antrópico no intencional</t>
  </si>
  <si>
    <t>Número de municipios en procesos de educación a las comunidades apoyados</t>
  </si>
  <si>
    <t>Apoyo en formacion y capacitación de gestión del riesgo</t>
  </si>
  <si>
    <t>Fortalecimiento instituciones de socorro</t>
  </si>
  <si>
    <t xml:space="preserve">Adquisición tecnología (cámara térmica, Dron)
</t>
  </si>
  <si>
    <t>Material didáctico</t>
  </si>
  <si>
    <t>Organización de foros, talleres, eventos, y/o actividades</t>
  </si>
  <si>
    <t xml:space="preserve">Realizar 10 intervenciones en  áreas vulnerables del departamento </t>
  </si>
  <si>
    <t>Número de intervenciones en áreas vulnerables realizadas</t>
  </si>
  <si>
    <t>Leventamiento de información  geologíca en áreas vulnerables</t>
  </si>
  <si>
    <t xml:space="preserve">Fortalecer el comité departamental de gestión del riesgo de desastres </t>
  </si>
  <si>
    <t>Comité departamental de gestión del riesgo de desastres fortalecido</t>
  </si>
  <si>
    <t>Mantenimiento red de comunicaciones</t>
  </si>
  <si>
    <t>Procesos de atención a PQRS y servicios demandados por la de la comunidad</t>
  </si>
  <si>
    <t xml:space="preserve">Actualización y desarrollo de  tecnologías en gestión del riesgo </t>
  </si>
  <si>
    <t>Formacion y capacitacion en el manejo del riesgo</t>
  </si>
  <si>
    <t>Servicios y atención  de manejo de riesgos</t>
  </si>
  <si>
    <t xml:space="preserve">Fortalecimiento  a las instituciones del comité de manejo
</t>
  </si>
  <si>
    <t>FORTALECIMIENTO INSTITUCIONAL PARA LA GESTIÓN DEL RIESGO DE DESASTRES COMO UNA ESTRATEGIA DE DESARROLLO</t>
  </si>
  <si>
    <t>Poner en funcionamiento operativo la sala de crisis del Departamento</t>
  </si>
  <si>
    <t>Sala de crisis del departamento funcionando</t>
  </si>
  <si>
    <t>0309 - 5 - 3 1 4 25 82 12 38 - 20</t>
  </si>
  <si>
    <t>201663000-0038</t>
  </si>
  <si>
    <t>Apoyo institucional en la gestión del riesgo  en el Departamento del Quindio</t>
  </si>
  <si>
    <t xml:space="preserve">Lograr que las ciudadaes y los asentamientos humanos sean inclusivos, resilientes y sostenibles (ODS-objetivo 11)
</t>
  </si>
  <si>
    <t xml:space="preserve">1. Cumplimiento de los protocolos para la preparación y manejo de la emergencia.
2. Destinación de recursos en el ambito local para la atención de las emergencias.
</t>
  </si>
  <si>
    <t xml:space="preserve"> Adquisición y/o mantenimiento  de equipos de  comunicación y/o tecnología   </t>
  </si>
  <si>
    <t xml:space="preserve">Articulación y coordinación para el manejo de  desastres en la sala de crisis del departamento </t>
  </si>
  <si>
    <t>Fortalecer  la dotación de la bodega estratégica de la Unidad Departamental de la Gestión del Riesgo de Desastres UDEGER</t>
  </si>
  <si>
    <t>Unidad Departamental de la Gestión del Riesgo de Desastre UDEGER dotada</t>
  </si>
  <si>
    <t xml:space="preserve">Apoyo para la entrega de ayuda humanitaria </t>
  </si>
  <si>
    <t>Suministro de ayudas  Humanitaria</t>
  </si>
  <si>
    <t>PODER CIUDADANO</t>
  </si>
  <si>
    <t>QUINDIO SI A LA PARTICIPACIÓN</t>
  </si>
  <si>
    <t>Desarrollar estrategias tendientes a promover la participación ciudadana en el departamento</t>
  </si>
  <si>
    <t>Estrategias de participación desarrolladas</t>
  </si>
  <si>
    <t>0309 - 5 - 3 1 5 27 85 16 39 - 20
0309 - 5 - 3 1 5 27 85 16 39 - 88</t>
  </si>
  <si>
    <t>201663000-0039</t>
  </si>
  <si>
    <t>Construcción de la participación ciudadana y control social en el Departamento del Quindio</t>
  </si>
  <si>
    <t xml:space="preserve">Elevar el promedio de la participación de la ciudadania en los procesos de elección popular del cuatrenio.
</t>
  </si>
  <si>
    <t xml:space="preserve">1.  Implementación y difusión  en las entidades territoriales de los canalaes  y medios para la participación de los ciudadanos.
Fortalecimeinto en la estructuración de políticas, programas ,legislación, proyectos sociales y desarrollo comunitario.
2. Convicción de la comunidad  en los programas encaminados a brindar el acercamiento a las instituciones públicas
3.  Fortalecimeinto en la estructuración de políticas, programas ,legislación, proyectos sociales y desarrollo comunitario.
</t>
  </si>
  <si>
    <t>Servicios como apoyo a estrategías de participación</t>
  </si>
  <si>
    <t xml:space="preserve">Celebración de la semana de participación </t>
  </si>
  <si>
    <t>Realización de eventos para el  fortalecimiento a la participación ciudadana y control social</t>
  </si>
  <si>
    <t xml:space="preserve">Logística, transporte y/o refrigerios </t>
  </si>
  <si>
    <t>Material y piezas promocionales como estrategías de participación</t>
  </si>
  <si>
    <t>Servicios de Apoyo para eventos de formación,capacitación</t>
  </si>
  <si>
    <t xml:space="preserve">Apoyo a estrategías y/o programas de promoción y fortalecimiento de la participación ciudadana </t>
  </si>
  <si>
    <t xml:space="preserve">Adquisición de equipos tecnológicos y/o muebles logísticos para el mejoramiento de la atención al ciudadano
</t>
  </si>
  <si>
    <t>Creación y puesta en funcionamiento  del Consejo departamental de participación Ciudadana</t>
  </si>
  <si>
    <t xml:space="preserve">Consejo departamental creado y funcionando </t>
  </si>
  <si>
    <t>Servicios de apoyo a la operatividad del consejo de participación ciudadana</t>
  </si>
  <si>
    <t>Material pedagogíco y/o promocional relacionado con el consejo de participación</t>
  </si>
  <si>
    <t>20/18/2019</t>
  </si>
  <si>
    <t xml:space="preserve">Servicios de Apoyo para eventos de formación, capacitación y/o formulación de políticas publicas 
</t>
  </si>
  <si>
    <t>Prestación de servicio de transporte</t>
  </si>
  <si>
    <t xml:space="preserve">Logística y/o refrigerios </t>
  </si>
  <si>
    <t>Apoyar  la comisión para la Coordinación y Seguimiento de los procesos electorales del departamento del Quindío  según el numero de eventos que se presenten</t>
  </si>
  <si>
    <t xml:space="preserve">N° de procesos electorales apoyados </t>
  </si>
  <si>
    <t xml:space="preserve">Apoyo insumos logísticos, transporte,suminsitro de combustible y/o alimentación para la celebración de los comicios electorales </t>
  </si>
  <si>
    <t>Diseñar e implementar la Escuela de Liderazgo democrático</t>
  </si>
  <si>
    <t>Escuela de liderazgo diseñada e implementada</t>
  </si>
  <si>
    <t xml:space="preserve">Estructuración e implementación   de la escuela de liderazgo </t>
  </si>
  <si>
    <t xml:space="preserve">Logística, transporte, impresos y/o refrigerios </t>
  </si>
  <si>
    <t>Formular e implementar la política pública departamental de libertad religiosa en desarrollo  del árticulo 244 de la ley  1753 "por medio de la cual  se expide  el Plan Nacional de Desarrollo 2014-2018 TODOS POR UN NUIEVO PAÍS"</t>
  </si>
  <si>
    <t xml:space="preserve">Politica pública formulada e implementada </t>
  </si>
  <si>
    <t>Servicios de apoyo para la operatividad  del comité de libertad religiosa</t>
  </si>
  <si>
    <t xml:space="preserve">Realización de eventos y/o encuentros de libertad religiosa </t>
  </si>
  <si>
    <t>Materíal pedagógico y/o promocional relacionado</t>
  </si>
  <si>
    <t xml:space="preserve">Comunales comprometidos con el desarrollo </t>
  </si>
  <si>
    <t xml:space="preserve">Fortalecer  organismos comunales en los  12 municipios del departamento en el mejoramiento organizacional y participativo </t>
  </si>
  <si>
    <t xml:space="preserve">Organismos comunales  municipales fortalecidos </t>
  </si>
  <si>
    <t>0309 - 5 - 3 1 5 27 86 16 40 - 20</t>
  </si>
  <si>
    <t>201663000-0040</t>
  </si>
  <si>
    <t xml:space="preserve">Desarrollo de los Organismos Comunales en el Departamento del Quindio </t>
  </si>
  <si>
    <t xml:space="preserve">Consolidar mecanismos  de integración  regional y municipal 
</t>
  </si>
  <si>
    <t xml:space="preserve">1.  Fortalecer la estructuración deprogramas de capacitación en legislación, proyectos sociales y desarrollo comunitario. Mejoramiento en  los procesos de inspección, vigilancia y control realizados a los organismos comunales.
</t>
  </si>
  <si>
    <t>Servicios como apoyo al fortalecimiento de los organismos  comunales</t>
  </si>
  <si>
    <t xml:space="preserve">Celebración día comunal
</t>
  </si>
  <si>
    <t>20</t>
  </si>
  <si>
    <t>Recurso Ordianrio</t>
  </si>
  <si>
    <t>Apoyo a eventos de carácter municipal, departamental y/o  nacional</t>
  </si>
  <si>
    <t>Apoyo para fortalecimiento de programas de los organismos comunales</t>
  </si>
  <si>
    <t>VEEDURIAS Y RENDICIÓN DE CUENTAS</t>
  </si>
  <si>
    <t>Implementar un (1) programa de fortalecimiento de las veedurías ciudadanas del departamento</t>
  </si>
  <si>
    <t>Programa de fortalecimiento implementado</t>
  </si>
  <si>
    <t>0309 - 5 - 3 1 5 26 84 16 42 - 20</t>
  </si>
  <si>
    <t>201663000-0042</t>
  </si>
  <si>
    <t xml:space="preserve">Fortalecimiento de las veedurias ciudadanas en el Departamento del Quindio </t>
  </si>
  <si>
    <t xml:space="preserve">Consolidar mecanismos  de integración  regional y municipal 
</t>
  </si>
  <si>
    <t xml:space="preserve">1.  Conocimiento de la legislación que permite el ejercicio  del control social 
2.  Difusión masiva sobre  el ejercicio del control social 
</t>
  </si>
  <si>
    <t>Servicio como apoyo a las estrategías de fortalecimiento a las veedurias ciudadanas</t>
  </si>
  <si>
    <t xml:space="preserve">Suministro de logística  y/o refrigerios </t>
  </si>
  <si>
    <t xml:space="preserve">Organización de eventos, foros, actividades entre otros  para la promoción y el fortalecimiento del control social y las veedurías ciudadanas. 
</t>
  </si>
  <si>
    <t xml:space="preserve">Difusión en medios masivos  de comunicación (radio impresos entre otros) para la promoción y el fortalecimiento del control social y las  veedurias ciudadanas  </t>
  </si>
  <si>
    <t>Prestación de servicios de transporte</t>
  </si>
  <si>
    <t>JORGE ANDRÉS BUITRAGO MONCALEANO</t>
  </si>
  <si>
    <t>Secretario del Interior</t>
  </si>
  <si>
    <t>PROGRAMACION PLAN DE ACCIÓN
SECRETARIA DE PLANEACION
I TRIMESTRE  2019</t>
  </si>
  <si>
    <t>Palenqueras</t>
  </si>
  <si>
    <t>Quindío Transparente y Legal</t>
  </si>
  <si>
    <t>Quindío Ejemplar y Legal</t>
  </si>
  <si>
    <t>Realizar en el Departamento y  los doce (12) municipios  del Quindío  procesos de sensibilización, seguimiento  y evaluación en la aplicabilidad de los componentes   del Índice de Transparencia.</t>
  </si>
  <si>
    <t>Número de procesos de seguimiento y evaluación realizados</t>
  </si>
  <si>
    <t>0305 - 5 - 3 1 5 26 83 17 6 - 20</t>
  </si>
  <si>
    <t>201663000-0006</t>
  </si>
  <si>
    <t>Realización procesos de capacitación,  asistencia técnica, seguimiento  y evaluación en la aplicabilidad de los componentes   del Índice de Transparencia en el Departamento del Quindio</t>
  </si>
  <si>
    <t xml:space="preserve">Aumentar el indice  transparencia en el departamento del Quindio y los entes territoriales municipales del quindio,  a través de procesos de capacitación, asistencia técnica, seguimiento y evaluación de los componentes de:diagnóstico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2019 . </t>
  </si>
  <si>
    <t xml:space="preserve">Realizar  procesos de capacitación, asistencia técnica, seguimiento y evaluación del  Indice de Transparencia a las Secretarias Sectoriales eInstitutos Descentralizados del  Departamento del Quindio,  
Realizar capacitaciones  temas especificos  de los componentes del Indice de transparencia  ( Gestión documental  - Tablas de Retención Documental ), que representan mayor vunerabilidad , dirigida a los funcionarios de la Administración y entes territoriales municipales, con el fin de lograr una mayor eficiencia y eficacia admnistrativa ,  visibilizar los procesos  y disminuir los riegos de corrupción durante la vigencia 2019 .   
</t>
  </si>
  <si>
    <t xml:space="preserve">a)  Análisis historico  Indice de Transparencia Departamento del Quindio </t>
  </si>
  <si>
    <t>Recursos Ordinarios.</t>
  </si>
  <si>
    <t>José Ignacio Rojas Sepúlveda
Secretario Departamental de Planeación</t>
  </si>
  <si>
    <t xml:space="preserve">Realizar  procesos de capacitación, asistencia técnica, seguimiento y evaluación del  indice de transparencia a las entes territoriales municipales del departamento del quindio,  en los diferentes componentes:  información mínima que debe esta públicada ,registro de activos de la información, información reservada y clasificada,   esquema de publicación de la información ,gestión documental,  solicitudes de acceso ala información,  costos de reproducción  de la informacion publicada con su respectiva motivacion   , con el fin de lograr una mayor eficiencia y eficacia admnistrativa ,  visibilizar los procesos  y disminuir los riegos de corrupción durante la vigencia 2019 . 
Realizar capacitaciones  temas especificos  de los componentes del Indice de transparencia  ( Gestión documental  - Tablas de Retención Documental ), que representan mayor vunerabilidad , dirigida a los funcionarios de la Administración y entes territoriales municipales, con el fin de lograr una mayor eficiencia y eficacia admnistrativa ,  visibilizar los procesos  y disminuir los riegos de corrupción durante la vigencia 2019 .   
</t>
  </si>
  <si>
    <t xml:space="preserve">a)  Análisis historico Indices de Gobierno Abierto IGA   e Indice de Transparencia Departamento del Quindio </t>
  </si>
  <si>
    <t xml:space="preserve">b) Socialización análisis historico Indices de Gobierno Abierto IGA   e Indice de Transparencia Departamento del Quindio </t>
  </si>
  <si>
    <t>a) RESPECTO A LA ESTRUCTURA DEL SUJETO OBLIGADO. (Artículo  9° Ley 1712 de 2014 ) : La descripción de su estructura,  Presupuesto general, directorio (Sistema de Gestión del Empleo Público (SIGEP)), normas generales y reglamentarias,Plan de compras anual,Los plazos de cumplimiento de los contratos,Plan Anticorrupción y de Atención al Ciudadano,</t>
  </si>
  <si>
    <t xml:space="preserve">b) PUBLICIDAD DE LA CONTRATACIÓN .(Artículo  10° Ley 1712 de 2014 ) :Las contrataciones (Sistema Electrónico para la Contratación Pública (Secop)-(Artículo 3° de la Ley 1150 de 2007) 
</t>
  </si>
  <si>
    <t>c) SERVICIOS, PROCEDIMIENTOS Y FUNCIONAMIENTO DEL SUJETO OBLIGADO .(Artículo  11° Ley 1712 de 2014 ) : )  Servicios que se presten, trámites, procedimientos -Sistema Único de Información de Trámites y Procedimientos Administrativos (SUIT),El contenido de toda decisión y/o política ,  informes de gestión, evaluación,mecanismo interno y externo de supervisión , procedimientos, lineamientos, políticas en materia de adquisiciones y compras,mecanismo de presentación directa de solicitudes, quejas y reclamos, mecanismo o procedimiento por medio del cual el público pueda participar en la formulación de la política, registro de publicaciones que contenga los documentos publicados , datos abiertos</t>
  </si>
  <si>
    <t>a)  Todas las categorías de información del sujeto obligado</t>
  </si>
  <si>
    <t xml:space="preserve">b) Todo registro publicado.
</t>
  </si>
  <si>
    <t>c)  Todo registro disponible para ser solicitado por el público.</t>
  </si>
  <si>
    <t>a) Inventario de la información pública generada, obtenida, adquirida o controlada por el sujeto obligado</t>
  </si>
  <si>
    <t>a) instrumento del que disponen los sujetos obligados para informar, de forma ordenada, a la ciudadanía, interesados y usuarios, sobre la información publicada y que publicará, conforme  a lo  previsto en el artículo 3° de la Ley 1712 de 2014, y sobre los medios a través de los cuales se puede acceder a la misma</t>
  </si>
  <si>
    <t>a)Política de gestión documental aprobada por el sujeto obligado.</t>
  </si>
  <si>
    <t>b) Tablas de Retención Documental.</t>
  </si>
  <si>
    <t>c) archivo institucional.</t>
  </si>
  <si>
    <t>d)  Políticas para la gestión de sus documentos electrónicos, incluyendo políticas de preservación y custodia digital.</t>
  </si>
  <si>
    <t>e)  Sistema Nacional de Archivos</t>
  </si>
  <si>
    <t>a) Publicación  informe de todas las solicitudes, denuncias y los tiempos de respuesta del sujeto obligado (Número de solicitudes recibidas,Número de solicitudes que fueron trasladadas a otra institución,Tiempo de respuesta a cada solicitud y Número de solicitudes en las que se negó el acceso a la información.</t>
  </si>
  <si>
    <t>a) Publicación  gratuidad y costos de reproducción. En concordancia con lo establecido en los artículos 3o  y 26 de la Ley 1712/14, en la gestión y respuesta a las solicitudes de acceso a la información pública.</t>
  </si>
  <si>
    <t>Asistencia Implementación  LEY 1712 DE 2012 ( SECTOR CENTRAL Y SECTOR DESCENTRALIZADO (PROMOTORA DE VIVIENDA, INDEPORTES. IDTQ)</t>
  </si>
  <si>
    <t>SEGUIMIENTO Y EVALUACIÓN ENTES ETERRITORIALES MUNICIPALES:  Información mínima que debe esta publicada  (  estructura del sujeto obligado, publicidad de la contratación, servicios, procedimientos y funcionamiento del sujeto obligado), registro de activos de la información, índice de información reservada y clasificada ,esquema de publicación de la información, programa de gestión documental , solicitudes de acceso a la información, reproducción    de la información publicada con su respectiva motivación y costos de reproducción  de la información publicada con su respectiva motivación</t>
  </si>
  <si>
    <t xml:space="preserve">SOCIALIZACION   ENTES TERRITORIALES </t>
  </si>
  <si>
    <t xml:space="preserve">Fotocopias </t>
  </si>
  <si>
    <t>Veedurías y Rendición de Cuentas</t>
  </si>
  <si>
    <t xml:space="preserve">Realizar  doce (12) procesos de Rendición Publica de Cuentas Departamentales en entes territoriales municipales. </t>
  </si>
  <si>
    <t>Número de procesos de Rendición de Cuentas en los municipios realizadas</t>
  </si>
  <si>
    <t>0305 - 5 - 3 1 5 26 84 17 15 - 20
0305 - 5 - 3 1 5 26 84 17 15 - 88</t>
  </si>
  <si>
    <t>201663000-0015</t>
  </si>
  <si>
    <t xml:space="preserve">Realización procesos de Rendición Publica de Cuentas Departamentales enlos  entes territoriales municipales del Departamento del Quindio </t>
  </si>
  <si>
    <t xml:space="preserve">Aumentar el promedio de participación ciudadana en los procesos de elección popular en el Departamento del Quindío, a travès de  la elaboraciòn del informe  la presentación del informe de Rendición de Cuenta de las ejecutorias de la Admnistración Departamental  vigencia 2017   y la preparación recolección y  consolidación del informe de la vigencia 2017, con el fin de divulgar a la comunidad de los resultados de la ejecutorias generando en la Administraciòn la cultura de la Rendiciòn Pùblica de Cuentas durante la vigencia 2018.
</t>
  </si>
  <si>
    <t xml:space="preserve">Realizar el video de las ejecutorias de la Administración Departamental vigencia 2017 por ejes estratégicos, buscando aumentar el promedio de la participación ciudadana en los procesos de elección popular en el Departamento del Quindío durante la vigencia 2018. 
</t>
  </si>
  <si>
    <t>Estrategia de Desarrollo Sostenible 2018</t>
  </si>
  <si>
    <t>Estrategia de Desarrollo Sostenible 2019</t>
  </si>
  <si>
    <t>Estrategia de Prosperidad con Equidad 2018</t>
  </si>
  <si>
    <t>Estrategia de Prosperidad con Equidad 2019</t>
  </si>
  <si>
    <t>Estrategia de Inclusion Social 2018</t>
  </si>
  <si>
    <t>Estrategia de Inclusion Social 2019</t>
  </si>
  <si>
    <t>Estrategia de Seguridad Humana 2018</t>
  </si>
  <si>
    <t>Estrategia de Seguridad Humana 2019</t>
  </si>
  <si>
    <t>Estrategia de Buen Gobierno 2018</t>
  </si>
  <si>
    <t>Estrategia de Buen Gobierno 2019</t>
  </si>
  <si>
    <t xml:space="preserve">Realizar un periodico informativo de las ejecutorias de la Administración Departamental vigencia 2017 por ejes estratégicos, buscando aumentar el promedio de la participación ciudadana en los procesos de elección popular en el Departamento del Quindío durante la vigencia 2018. 
</t>
  </si>
  <si>
    <t>Diseño y edición periódico ejecutorias Administración  Departamental 2018</t>
  </si>
  <si>
    <t>Diseño y edición periódico ejecutorias Administración  Departamental 2019</t>
  </si>
  <si>
    <t xml:space="preserve">  Realizar  eventos de Rendición Pública de Cuentas en los doce entes Territoriales del Departamento , de las ejecutorias de la Administración Departamental vigencia 2017 por ejes estratégicos, buscando aumentar el promedio de la participación ciudadana en los procesos de elección popular en el Departamento del Quindío durante la vigencia 2018. 
</t>
  </si>
  <si>
    <t>Sonido 2018</t>
  </si>
  <si>
    <t>Sonido 2019</t>
  </si>
  <si>
    <t>Refrigerios 2018</t>
  </si>
  <si>
    <t>Refrigerios 2019</t>
  </si>
  <si>
    <t>Poder Ciudadano</t>
  </si>
  <si>
    <t>Quindío si a la participación</t>
  </si>
  <si>
    <t xml:space="preserve">Fortalecer  técnica y logísticamente al  Consejo Territorial de Planeación  Departamental  </t>
  </si>
  <si>
    <t>Consejo Territorial de Planeación fortalecido</t>
  </si>
  <si>
    <t>0305 - 5 - 3 1 5 27 85 16 7 - 20</t>
  </si>
  <si>
    <t>201663000-0007</t>
  </si>
  <si>
    <t>Asistencia al Consejo Territorial de Planeación del Departamento del Quindío.</t>
  </si>
  <si>
    <t xml:space="preserve">Fortalecer competencias de planificación del consejo territorialdel Departamento del Quindio, a través de la participación del Consejo Territorial de Planeación en encuentros Departamentales, Nacionales y Regionales, de una estrategia de comunicaciones e imagen institucional , del diplomado o escuela de liderazgo en Ordenamiento Territorial y de la adquisición de equipos digitales, computo, inmuebles durante la vigencia 2018.   
</t>
  </si>
  <si>
    <t xml:space="preserve">Apoyar la participación de los integrantes del consejo territorial a congresos y eventos nacionales regionales y departamentales, en el Departamento del Quindio, durante la vigencia 2018 </t>
  </si>
  <si>
    <t>1.1 Sesiones itinerantes - Servicio de transporte terrestre ida y vuelta desde su lugar de origen Plaza de Bolívar del Municipio de Armenia, hasta los municipios del Quindío, en los días que sean acordados por el contratante - Suministro de almuerzos en los doce municipios del Quindío durante las sesiones descentralizadas.</t>
  </si>
  <si>
    <r>
      <t>1.2. XIII Encuentro CTP, traslados de ida y vuelta desde su lugar de origen Plaza de Bolívar del Municipio de Armenia hasta el Municipio sede "</t>
    </r>
    <r>
      <rPr>
        <b/>
        <sz val="11"/>
        <rFont val="Arial"/>
        <family val="2"/>
      </rPr>
      <t>Quimbaya/Córdoba(/Génova</t>
    </r>
    <r>
      <rPr>
        <sz val="11"/>
        <rFont val="Arial"/>
        <family val="2"/>
      </rPr>
      <t xml:space="preserve">", en los días que sean acordados por el contratante, a realizarse durante el mes de septiembre o Octubre - Suministro de alimentación en el municipio sede, Desayuno, Almuerzo y Cena, durante los días del encuentro - Servicio de alojamiento acomodación en habitaciones dobles en los días que sean acordados por el contratante. Mes de septiembre u octubre para 25 personas. </t>
    </r>
  </si>
  <si>
    <t>1.3.XXIII Congreso del Sistema Nacional de Planeación, traslado de ida y vuelta en transporte aéreo en las rutas nacionales: de Armenia  hacia la ciudad "sede"; adicional traslados internos, en los días que sean acordados por el contratante. cinco (5) días, Octubre o Noviembre de 2019 - suministro de alimentación en la ciudad sede Desayuno, Almuerzo y Cena, sede del XXIII Congreso Nacional de Planeación, cinco (5) días,Octubre O Noviembre /2098 - servicio de alojamiento en la ciudad sede del XXIII Congreso Nal de Planeación, acomodación en habitaciones dobles, cinco (5) días, Octubre y/o Noviembre /2019 para 19 personas.</t>
  </si>
  <si>
    <t>1.4. Asistencia de los Consejeros a foros regionales de participación ciudadana y estratégicos,convocatorias de la RAP Eje Cafetero, del Sistema Departamental y Regional de Planeación, igualmente particpar en las convocatorias a las reuniones de la Comisión Técnica del Sistema Regional y Nacional de Planeación, incluye:  Traslados aereos, terrestres e internos, alojamiento y alimentación.</t>
  </si>
  <si>
    <t xml:space="preserve">Utilizar diversos medios e instrumentos para la difusión del accionar del consejo territorial a través de estrategias de comunicación e imagen institucional y adquisición de equipos digitales y de computo en el Departamento del Quindio, durante la vigencia 2018.  
</t>
  </si>
  <si>
    <t xml:space="preserve">3.1 Comunicaciones externas de interes público, a traves de medios radiales, prensa y televisivos. </t>
  </si>
  <si>
    <t>3.2 Actualización pagina web y redes consejo territorial</t>
  </si>
  <si>
    <t>3.3. Suministro de material litografico, papeleria, impresos y publicaciones, entre otros</t>
  </si>
  <si>
    <t>5.1 Camara fotografica incluido el tripode</t>
  </si>
  <si>
    <t>5.2 Grabadora de mano</t>
  </si>
  <si>
    <t>6.1 Toner (tinta impresora)</t>
  </si>
  <si>
    <t xml:space="preserve">Aumentar los  espacios para capacitación orientados en planificación del territorio Quindiano a través de diplomado o Escuela de liderazgo en ordenamiento territorial en el Departamento del Quindio, durante la vigencia 2018. 
</t>
  </si>
  <si>
    <t>4.1. Realización cacitaciones/Diplomados/Seminarios/ para los Consejeros Territoriales del Departamento</t>
  </si>
  <si>
    <t>4.2. Diseñar y elaborar el contenido programatico de la  y Planeación participativa</t>
  </si>
  <si>
    <t>Gestión Territorial</t>
  </si>
  <si>
    <t xml:space="preserve">Los instrumentos  de planificación como  ruta para el cumplimiento de la gestión pública  </t>
  </si>
  <si>
    <t>Diseñar e implementar el Plan de Ordenamiento del Departamento del Quindio.</t>
  </si>
  <si>
    <t>201663000-0009</t>
  </si>
  <si>
    <t xml:space="preserve"> Diseño e implementación instrumentos de  planificación para el  ordenamiento  territorial, social y económico del  Departamento del Quindio</t>
  </si>
  <si>
    <t xml:space="preserve">Diseñar un sistema que garantice  la calidad en la información de los esquemas y planes básicos para la toma de decisiones  y organización del territorio  físico espacial en el departamento del Quindío
 </t>
  </si>
  <si>
    <t xml:space="preserve">Diseñar e implementar el Plan de Ordenamiento del Departamento del Quindio( I- Fase)
</t>
  </si>
  <si>
    <t>Consolidacion de la Informacion del DNP para la implementacion del POD</t>
  </si>
  <si>
    <t>Recursos Ordinarios</t>
  </si>
  <si>
    <t>Formulación y consolidación de las directrices y  lineamientos de ordenamiento territorial para el departamento del Quindio, en la implementación del POD.</t>
  </si>
  <si>
    <t xml:space="preserve">Superavit Recursos Ordinarios
</t>
  </si>
  <si>
    <t>socializacion del POD en los Municipios del Departamento</t>
  </si>
  <si>
    <t>Transporte</t>
  </si>
  <si>
    <t>Suministro de refrigerios</t>
  </si>
  <si>
    <t>Adquisicion de elementos tecnologicos (televisor, disco duro, entre otros)</t>
  </si>
  <si>
    <t>Diseñar e implementar Un (1) Sistema de Información geo referenciado para el ordenamiento social  y económico del territorio rural</t>
  </si>
  <si>
    <t>Sistema de información geo referenciado diseñado e implementado</t>
  </si>
  <si>
    <t>Diseñar e implementar un  Sistema de Información geo referenciado para el ordenamiento social  y económico del territorio rural</t>
  </si>
  <si>
    <t>Mantenimiento y Actualizacion permanente de las bases de Datos</t>
  </si>
  <si>
    <t xml:space="preserve">Actualizar y fortalecer  las directrices   del Modelo de Ocupación del Territorio   en el Departamento del Quindío </t>
  </si>
  <si>
    <t>Modelo de Ocupación del Territorio actualizado y fortalecido</t>
  </si>
  <si>
    <t>Actualizar y fortalecer  las directrices   del Modelo de Ocupación del Territorio   en el Departamento del Quindío</t>
  </si>
  <si>
    <t>Actualizar las Directrices MOD.</t>
  </si>
  <si>
    <t xml:space="preserve">Fortalecer el  Sistema de Información Geográfica del Departamento del Quindío  </t>
  </si>
  <si>
    <t>Sistema de información geográfica fortalecida</t>
  </si>
  <si>
    <t xml:space="preserve">Fortalecer el  Sistema de Información Geográfica del Departamento del Quindío </t>
  </si>
  <si>
    <t>fortalecimeinto de la Plataforma SIG Quindio.</t>
  </si>
  <si>
    <t>Adoptar dos (2) mecanismo de integracion regional  y  de asociatividad  entre los municipios.</t>
  </si>
  <si>
    <t>Mecanismo de integración adoptado</t>
  </si>
  <si>
    <t xml:space="preserve">Adoptar dos (2) mecanismos de integracion regional  y  de asociatividad  entre los municipios.
</t>
  </si>
  <si>
    <t>Creacion y fortalecimientos de los procesos de integracion regional y otras integraciones que se presenten</t>
  </si>
  <si>
    <t>Superavit Recursos Ordinarios</t>
  </si>
  <si>
    <t>Fortalecer Procesos de Integracion entre los Municipios</t>
  </si>
  <si>
    <t>Reorientar el observatorio económico actual, a un enfoque de Desarrollo humano incluyente con variables sociales, económicas y de seguridad humana</t>
  </si>
  <si>
    <t>Observatorio economico reorientado</t>
  </si>
  <si>
    <t>0305 - 5 - 3 1 5 28 87 17 10 - 20
0305 - 5 - 3 1 5 28 87 17 10 - 88</t>
  </si>
  <si>
    <t>201663000-0010</t>
  </si>
  <si>
    <t>Diseño e implementación del Observatorio de Desarrollo Humano en el departamento del Quindío</t>
  </si>
  <si>
    <t xml:space="preserve">Aumentar los indices eficacia y eficiencia  de la inversión social en el Departamento del Quindio, a través  del diseño e implementación de la primera fase  del Observatorio de Desarrollo Humano en el Departamento del Quindio ( Diagnóstico y compilación de la información estadística -Elaboración de los lineamientos metodológicos, tecnológicos y presupuestales) ,  durante el periódo administrativo. 
</t>
  </si>
  <si>
    <t xml:space="preserve">Elaborar  diagnóstico y compilar las estadisticas existentes en el Departamento por series de tiempo  y estratégias ( Inclusión social, seguridad humana, desarrollo sostenible, buen gobierno y prosperidad con equidad), con el fin contar con información soporte  que permita la toma de desiciones y aumentar los índices de eficacia y eficiencia de la inversión social en el Departamento del quindio, durante la vigencia 2018
</t>
  </si>
  <si>
    <t>1.1.1 Actualización de los instrumentos (Anuario Estadístico, Carta Estadística, Indicadores) de identificación, validación y cálculo de indicadores del observatorio departamental  contenidos en las dos áreas temáticas abordadas (Social y económica) para los 18 sectores priorizados en la vigencia 2017.</t>
  </si>
  <si>
    <t xml:space="preserve">Recursos Ordinarios
</t>
  </si>
  <si>
    <t>José Iganacio Rojas Sepúlveda
Secretario Departamental de Planeación</t>
  </si>
  <si>
    <t>2.1 Análisis de la información recolectada para la actualización y generación de los  boletines trimestrales (4), el informe anual del departamento (1) y los demás análisis requeridos correspondientes a la vigencia 2017 (1 Informe de Empleo)</t>
  </si>
  <si>
    <t>2.2 Fortalecer el seguimiento a los problemas identificados en el departamento con relación a los ODS para la última vigencia de análisis.</t>
  </si>
  <si>
    <t>3.1.1. Apoyo en la implementación del sistema de consulta del Observatorio de Desarrollo Humano y fortalecimiento de su funcionamiento a partir de la compra de equipos de cómputo y de licencias.</t>
  </si>
  <si>
    <t>3.1.2 Apoyo en la recolección y procesamiento de bases y datos estadisticos para la estructuración del sistema de información </t>
  </si>
  <si>
    <t>Elaborar los lineamientos metodológicos, tecnológicos y presupuestales para la implementación del Observatorio de Desarrollo Humano en Departamento del Quindio, con el fin  de contar con los soprtes técnicos para el diseño de un herramienta tecnológica  que permita la articulación de la captura y procesamiento de la información por parte de las diferentes instancias productoras y mejorar los índices  de eficacia y eficiencia de la inversión social en el Departamento del quindio, durante la vigencia 2018</t>
  </si>
  <si>
    <t xml:space="preserve">4.1.1 Apoyo en la asistencia y revisión de las fichas Basicas Municipales </t>
  </si>
  <si>
    <t>Diseñar e implementar el tablero de control  para el seguimiento y evaluación del Plan de Desarrollo  y   políticas públicas  Departamentales</t>
  </si>
  <si>
    <t>Tablero de control diseñado e implementado</t>
  </si>
  <si>
    <t xml:space="preserve">0305 - 5 - 3 1 5 28 87 17 11 - 20
0305 - 5 - 3 1 5 28 87 17 11 - 88
</t>
  </si>
  <si>
    <t>201663000-0011</t>
  </si>
  <si>
    <t>Diseño  e implementación del Tablero de Control  para el seguimiento y evalución del Plan de Desarrollo y las Políticas Públicas del  Departamento del Quindio.</t>
  </si>
  <si>
    <t xml:space="preserve"> Aumentar los indices eficacia y eficiencia  de la inversión social en el Departamento del Quindio, a través  de la  caracterización, definición de indicadores, rutas críticas, seguimiento, control y evaluación de las metas estratégicas del Plan de Desarrollo " EN DEFENSA DEL BIEN COMÚN"  y las políticas públicas del Departamento del Quindio  
</t>
  </si>
  <si>
    <t xml:space="preserve">Realizar la caracterización,  definición de indicadores y estabecimiento de rutas criticas de las  metas estratégicas  Plan de Desarrollo Departamental y  las políticas públicas por periodo administrativo 2016-2019, con el fin de fortalecer los procesos de planificación del departamento y mejorar los indices de eficacia y eficiencia de la inversión social   
</t>
  </si>
  <si>
    <t>1.1. Implementación del procedimiento de cargue de información para el seguimiento y evaluación de las políticas públicas del Departamento del Quindío,  a través del Tablero de Control.</t>
  </si>
  <si>
    <t>1.2. Elaboración ruta de seguimiento del Plan de Acción, a través de la plataforma WEB,  flujos de información y conexiones, definiendo los avances de metas físicas y financieras, para la validación de la información.</t>
  </si>
  <si>
    <t xml:space="preserve">1.3. Adquisición de licencia de uso y funcionamiento </t>
  </si>
  <si>
    <t xml:space="preserve">Diseñar e implementar la  Fábrica de Proyectos de Inversión en el Departamento del Quindío </t>
  </si>
  <si>
    <t>Fábrica de Proyectos de Inversión diseñada e implementada</t>
  </si>
  <si>
    <t xml:space="preserve">0305 - 5 - 3 1 5 28 87 17 12 - 20
0305 - 5 - 3 1 5 28 87 17 12 - 88
</t>
  </si>
  <si>
    <t>201663000-0012</t>
  </si>
  <si>
    <t xml:space="preserve">  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</si>
  <si>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</si>
  <si>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Fortalecer la gestión de recursos, a través del SGR, departamentales, nacionales  e Internacional para el apoyo de alternativas regionales</t>
  </si>
  <si>
    <t>Capacitación formulación proyectos Sistema General de Regalias  SGR (Matriz  de Marco Lógico ; Metodología General Ajustada  y  requisitos generales para la viabilización  de proyectos)</t>
  </si>
  <si>
    <t>Asistencia Técnica  en  la revisión de proyectos  Metodología General Ajustada MGA,   seguimiento a  trámites de  aprobación  proyectos  de Inversión SGR  y  mesas técnicas ( Secretarias Sectoriales,   Instancias de carácter municipal, departamental, regional  y/o nacional ), rendición de cuentas Sistema General de Regalias SGR, reuniones OCAD  Regional y Departamental.</t>
  </si>
  <si>
    <t>Asistencia Técnica  formulación Metodología General Ajustada MGA, gestión de insumos para el cumplimiento de requisitos mínimos,  revisión  de proyectos componente   Económico, Social y Ambiental</t>
  </si>
  <si>
    <t>Apoyo en la formulacion y estructuracion de programas y proyectos de cooperacion internacional, en las metodologias requeridas.</t>
  </si>
  <si>
    <t>Fortalecer el Monitoreo, control y seguimietno de los proyectos de inversión en tiempo real</t>
  </si>
  <si>
    <t xml:space="preserve">Seguimiento y evaluación ejecución  proyectos de inversión Sistema General de Regalias </t>
  </si>
  <si>
    <t>Socialización de Informes a las unidades ejecutoras</t>
  </si>
  <si>
    <t>Realización mesas técnicas con las unidades ejecutoras</t>
  </si>
  <si>
    <t>Brindar apoyo técnico integral o interdisciplinario a las Secretarias de la Gobernación del Quindío y a los entes territoriales en la identificación y formulación  de Proyectos en el marco de la Metodología General Ajustada, Marco Lógico y otras</t>
  </si>
  <si>
    <t>a) Asistencia Técnica en la formulación y estructuración de  proyectos de carácter estrategico (del orden departamental, Regional, Nacional e Internacional), en  la Metodología requeridas. B) Apoyo en la realizacion de mesas de trabajo con las unidades ejecutoras y entidades actoras, para la construccion de los documentos y anexos requeridos en los proyectos. c) Apoyo en el cargue de los proyectos en las plataformas requeridas. d) Apoyo en la verifcacion de requisitos en los proyectos. e) Apoyo en la socializacion de los proyectos formulados .</t>
  </si>
  <si>
    <t>Superavir Ordinario</t>
  </si>
  <si>
    <t>Apoyo a las unidades ejejcutoras en la formulacion y estructuracion d eproyectos del orden departamental, regional y nacional. Apoyo en las mesas de trabajo con las unidades ejecutoras y entidades actoras.</t>
  </si>
  <si>
    <t>a) Apoyo a la formulación, estructuración, ajustes y Actualización  de proyectos de Inversión vigencias  2019 y 2020, en su marco logico y a través de la Herramienta MGA WEB .   b) Apoyo a los procesos de revision y analisis del cumplimiento de requisitos generales de los proyectos por formuladores ciudadanos u oficiales. c) Apoyo a los procesos de control y seguimiento a la inversion.</t>
  </si>
  <si>
    <t>Apoyo en la caracterizaciòn de los proyectos e iniciativas estratègicas del Departamento del Quindio y sus municipios, suceptibles de ser financiados con recursos del orden departamental, regional, nacional e internacional, (generando fichas tècnicas)</t>
  </si>
  <si>
    <t>Apoyo a las unidades ejecutoras en la socializaciòn de la Metodologia General Ajustada- MGA WEB, SUIFP-TERRITORIO, teniendo en cuenta el Decreto 378 de 2017 "por el cual se expide el Manual de Operaciones del Banco de Programas y Proyectos de Inversiòn "Fabrica de Proyectos" del Departamento del Quindio" y las directrices establecidas por el Departamento Nacional de Planeaciòn -DNP.</t>
  </si>
  <si>
    <t xml:space="preserve">Seguimiento, identificación y sistematización de las iniciativas y proyectos susceptiblres de ser financiados con recursos de cooperación internacional, gestionados por los entes territoriales municipales ante las agencias de cooperación y embajadas ext ranjeras en el pais </t>
  </si>
  <si>
    <t xml:space="preserve">Actualizar el Sistema Integrado de Gestión Administrativa SIGA del departamento del Quindío </t>
  </si>
  <si>
    <t>Sistema Integrado de Gestión actualizado</t>
  </si>
  <si>
    <t>0305 - 5 - 3 1 5 28 87 17 13 - 20
0305 - 5 - 3 1 5 28 87 17 13 - 88</t>
  </si>
  <si>
    <t>201663000-0013</t>
  </si>
  <si>
    <t xml:space="preserve">Actualizar y/o  ajustar el Sistema Integrado de Gestión Administrativa SIGA del Departamento del Quindío </t>
  </si>
  <si>
    <t xml:space="preserve"> Aumentar los indices eficacia y eficiencia  de la inversión social en el Departamento del Quindio, a  través la actualización del Sistema Integado de la Gestión Administrativa SIGA ( procesos estratégicos, misionales, de apoyo y evaluación y control) durante la vigencia 2018
 </t>
  </si>
  <si>
    <t xml:space="preserve">Actualizar  y ajustar los procesos  Estrategicos,  Misionales de apoyo y evaluación y control del Sistema Integrado de  Gestión Administrativa del Departamento del Quindio.
</t>
  </si>
  <si>
    <t xml:space="preserve">Hacienda, Administrativa, Cultura, Salud, Educación, Representación Judicial, Privada, Planeación, Turismo, Industria y Comercio, Aguas e Infraestrutura, Interior, Agricultura y Desarrollo Rural,  Control Interno y Gestión, Control Interno Disciplinario, familia , Juridica y Contrataciòn </t>
  </si>
  <si>
    <t>Planeación, Gobernación y Modelo Integrado de Planeación y Gestión MIPG</t>
  </si>
  <si>
    <t>Asistencias Técnicas</t>
  </si>
  <si>
    <t>Asistencias Técnicas actualización y ajuste ( Tablero de Control , Sistema General de Regalias,Modelo Integrado  de Planeación y de Gestión MIPG, Rendición Publica de Cuentas,Seguimiento y Evaluación Plan de Desarrollo y Politicas Públicas,Ordenamiento Territorial ,Banco de Programas y Proyectos .</t>
  </si>
  <si>
    <t>Comite Institucional de Gestión y Desempeño MIPG</t>
  </si>
  <si>
    <t>Comité Departamental de Gestión y Desempeño MIPG</t>
  </si>
  <si>
    <t xml:space="preserve">Instancias de Control y Seguimiento </t>
  </si>
  <si>
    <t>Segumiento y evaluación aplicabilidad Manual de  Calidad por  Secretaria Sectorial ( Seguimiento No.1 )</t>
  </si>
  <si>
    <t>Segumiento y evaluación aplicabilidad Manual de  Calidad por  Secretaria Sectorial ( Seguimiento No. 2 )</t>
  </si>
  <si>
    <t>Informe final SIGA ahora MIPG</t>
  </si>
  <si>
    <t xml:space="preserve">Ajustes Paginas (Pagina web e Intranet) </t>
  </si>
  <si>
    <t xml:space="preserve">Capacitar a los funcionarios de la Administración departamental  en la operatividad del Sistema Integrado de la Gestión Administrativa  del Departamento del Quindio, con el fin de aumentar los indices de eficiencia y efiacia </t>
  </si>
  <si>
    <t>Segumiento y evaluación aplicabilidad Manual de  Calidad por  Secretaria Sectorial ( Seguimiento No. 3 )</t>
  </si>
  <si>
    <t xml:space="preserve">Implementar el Comité  de Planificación  Departamental   </t>
  </si>
  <si>
    <t>Comité de Planificación Departamental implementado</t>
  </si>
  <si>
    <t xml:space="preserve">0305 - 5 - 3 1 5 28 87 17 14 - 20
0305 - 5 - 3 1 5 28 87 17 14 - 88
</t>
  </si>
  <si>
    <t>201663000-0014</t>
  </si>
  <si>
    <t>Asistencia  técnica, seguimiento y evaluación  de la gestión  territorial en los  munipicios del Departamento del  Quindío.</t>
  </si>
  <si>
    <t xml:space="preserve">Aumentar  los índices eficacia y eficiencia  de la inversión social en el departamento del Quindío, a través  de procesos de capacitación, asistencia técnica, seguimiento y evaluación del gestión territorial, durante  la vigencia 2018 . 
</t>
  </si>
  <si>
    <t xml:space="preserve">Implementar el Comite Departamental de Planificación , con el fin de articular  procesos  que coadyuven al desarrollo economco y social del departamento del quindio de manera planificada durante la vigencia 2018 
</t>
  </si>
  <si>
    <t>Activar los comites de Planificación  descentralizados en los municipios del departamento mediante capacitaciones y talleres</t>
  </si>
  <si>
    <t>Implementar en doce (12) municipios del Departamento procesos de capacitación,   asistencia técnica,  seguimiento  y evaluación   de los    Planes  (Básicos y/o esquemas) Ordenamiento   Territorial</t>
  </si>
  <si>
    <t>Número de municipios con procesos de asistencia técnica y capacitación implementados</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</si>
  <si>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 durante la vigencia 2018</t>
  </si>
  <si>
    <t xml:space="preserve">Asistencia técnica, seguimiento y/o evaluación Planes Básicos de Ordenamiento Territorial  </t>
  </si>
  <si>
    <t xml:space="preserve">Transporte </t>
  </si>
  <si>
    <t xml:space="preserve">Implementar en doce (12) municipios del Departamento del Quindío  procesos de sensibilización, capacitación, asistencia técnica, seguimiento y evaluación del "Ranking integral de Desempeño"   </t>
  </si>
  <si>
    <t>Número de municipios con procesos de capacitación implementados</t>
  </si>
  <si>
    <t>Asistencia técnica, seguimiento y/o evaluación Ranking Integral de Desempeño, Identificación de inconsistencias del FUT, Evaluación de requisitos legales, viabilidad fiscal</t>
  </si>
  <si>
    <t xml:space="preserve">Implementar en doce (12) municipios del Departamento del Quindío  procesos de sensibilización, capacitación,  asistencia técnica, seguimiento  y evaluación  en la aplicabilidad de los instrumentos de planificación </t>
  </si>
  <si>
    <t>Número de municipios con procesos de sensibilización implementados</t>
  </si>
  <si>
    <t>Capacitación, asistencia técnica, seguimiento y/o evaluación instrumentos de planificación a los doce municipios</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</si>
  <si>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</si>
  <si>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Asistencia técnica en la operatividad del Sistema de Selección de Beneficiarios SISBEN III en los doce municipios del Departamento del Quindío:  </t>
  </si>
  <si>
    <t xml:space="preserve">Implementar en doce (12) municipios del Departamento del Quindío procesos de  sensibilización, capacitación, asistencia técnica, seguimiento  y evaluación  en la aplicabilidad   de las políticas públicas </t>
  </si>
  <si>
    <t xml:space="preserve">Capacitación , Asistencia técnica, seguimiento y/o evaluación Politicas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</si>
  <si>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</si>
  <si>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</si>
  <si>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Capacitación , Asistencia técnica, seguimiento y/o evaluación Metodologia General Ajustada</t>
  </si>
  <si>
    <t xml:space="preserve">Realizar procesos  de asistencia técnica, seguimiento y evaluacion  en la incorporación  de  las directrices del  Modelo de Ocupación del Territorio de en los doce (12) Municipios </t>
  </si>
  <si>
    <t>Capacitación , Asistencia técnica, seguimiento y/o evaluación incorporación Modelo de Ocupación del territorio en los doce municipios</t>
  </si>
  <si>
    <t>Entes territoriales municipales asistidos</t>
  </si>
  <si>
    <t>JOSE IGNACIO ROJAS SEPULVEDA</t>
  </si>
  <si>
    <t xml:space="preserve">SECRETARIO DE PLANEACION DEPARTAMENTAL </t>
  </si>
  <si>
    <t>PROGRAMACIÓN  PLAN DE ACCIÓN
OFICINA PRIVADA
I TRIMESTRE 2019</t>
  </si>
  <si>
    <t>Edad Económicamente 
Activa(20-59 años)</t>
  </si>
  <si>
    <t>QUINDIO EJEMPLAR Y LEGAL</t>
  </si>
  <si>
    <t xml:space="preserve">Realizar 40 eventos  de sensibilización en transparencia , participación, buen gobierno y valores éticos y morales  </t>
  </si>
  <si>
    <t>No de Eventos  de sensibilización   realizados</t>
  </si>
  <si>
    <t xml:space="preserve">0313 - 5 - 3 1 5 26 83 17 82 - 20
0313 - 5 - 3 1 5 26 83 17 82 - 88
</t>
  </si>
  <si>
    <t>201663000-0082</t>
  </si>
  <si>
    <t>Desarrollar y fortalecer la cultura de la transparencia, participación, buen gobierno  y valores éticos y morales en el Departamento del Quindio</t>
  </si>
  <si>
    <t>Elevar el índice de transparencia en la administración departamental , mediante un proceso de formación incluyente con énfasis en valores éticos, morales y ciudadanos, para aumentar la confianza en la administración gubernamental del Quindío.</t>
  </si>
  <si>
    <t xml:space="preserve">Ciudadanos altamente  informados   en temas relacionados con ética, transparencia y buen gobierno
</t>
  </si>
  <si>
    <t xml:space="preserve">Desarrollo de la estrategia de transparencia </t>
  </si>
  <si>
    <t>José Joaquin Rincon Pastrana
Director Oficina Privada</t>
  </si>
  <si>
    <t>Mejorar la cultura del civismo y participación de los ciudadanos  en los  procesos institucionales del gobierno.</t>
  </si>
  <si>
    <t>Desarrollo del sistema departamental del servicio al ciudaddano</t>
  </si>
  <si>
    <t>Implementar una (1) sala de transparencia "Urna de Cristal" en el Departamento</t>
  </si>
  <si>
    <t>Sala de transparencia implementada</t>
  </si>
  <si>
    <t>0313 - 5 - 3 1 5 26 83 17 83 - 20  </t>
  </si>
  <si>
    <t>201663000-0083</t>
  </si>
  <si>
    <t>Implementacion de una (1) sala de transparencia "Urna de Cristal" en el Departamento del Quindio</t>
  </si>
  <si>
    <t>Aumentar el nivel de credibilidad en la transparencia  de la contratación  pública en el Departamento.</t>
  </si>
  <si>
    <t xml:space="preserve">Aumentar el conocimiento de la ciudadanía de los procesos precontractuales de la administración departamental    Mejorar el promedio de participación de la ciudadania en los procesos de elección  popular en el cuatrenio 
</t>
  </si>
  <si>
    <t>Promociòn  de la Sala  de transparencia</t>
  </si>
  <si>
    <t xml:space="preserve">MODERNIZACIÓN TECNOLOGICA Y ADMINISTRATIVA </t>
  </si>
  <si>
    <t xml:space="preserve">Desarrollar e implementar una (1) estrategía de comunicaciones  </t>
  </si>
  <si>
    <t>Estrategía de comunicaciones desarrollada e implementada</t>
  </si>
  <si>
    <t>0313 - 5 - 3 1 5 28 89 17 81 - 20
0313 - 5 - 3 1 5 28 89 17 81 - 88
           </t>
  </si>
  <si>
    <t>201663000-0081</t>
  </si>
  <si>
    <t>Implementación de  la estrategia de comunicaciones para  la divulgación de  los programas, proyectos,  actividades y servicios del Departamento del Quindío</t>
  </si>
  <si>
    <t>Fortalecer las herramientas de divulgación y comunicación de las metas resultado propuestas en el plan de desarrollo 2016-2019 " en defensa del bien común</t>
  </si>
  <si>
    <t>Incremento en el número de campañas institucionales para dar a conocer los programas y proyectos de la gobernación</t>
  </si>
  <si>
    <t>Ejecución de Plan de Medios (prensa, radio y televisión)</t>
  </si>
  <si>
    <t>Desarrollo de la estrategia de comunicación interna (boletin informativo)</t>
  </si>
  <si>
    <t>Planificación institucional en la divulgación de los programas y proyectos</t>
  </si>
  <si>
    <t xml:space="preserve">Operatividad de la estrategica de comunicaciones </t>
  </si>
  <si>
    <t>JOSE JOAQUIN RINCON PASTRANA</t>
  </si>
  <si>
    <t>PROGRAMACION DEL PLAN DE ACCIÓN
PROMOTORA DE VIVIENDA DEL QUINDIO "PROVIQUINDIO
I TRIMESTRE  2019</t>
  </si>
  <si>
    <t>POBLACION</t>
  </si>
  <si>
    <t>ESTRATEGIA</t>
  </si>
  <si>
    <t>PROGRAMA</t>
  </si>
  <si>
    <t>SUBPROGRAMA</t>
  </si>
  <si>
    <t>META PRODUCTO PLAN DE DESARROLLO</t>
  </si>
  <si>
    <t>NO</t>
  </si>
  <si>
    <t>VALOR EN PESOS</t>
  </si>
  <si>
    <t>Infraestructura Sostenible para la Paz</t>
  </si>
  <si>
    <t>Mejora de la Infraestructura Vial del Departamento del Quindío</t>
  </si>
  <si>
    <t>0211101_4
0211102_3</t>
  </si>
  <si>
    <t>201663000-0171</t>
  </si>
  <si>
    <t xml:space="preserve">Apoyo en la formulación y ejecucion de proyectos de vivienda, infraestructura y equipamientos colectivos y comunitarios en el Departamento del Quindio </t>
  </si>
  <si>
    <t xml:space="preserve">Disminuir el porcentaje de personas en situación de pobreza en el Departamento del Quindio.
</t>
  </si>
  <si>
    <t>Aumento de la cobertura  en los componentes de vivienda, infraestructura y equipamiento colectivo y comunitario Aumento de la cobertura  en los componentes de vivienda, infraestructura y equipamiento colectivo y comunitario.</t>
  </si>
  <si>
    <t>Mantener, mejorar y/o rehabilitar la infraestructura y vial del departamento</t>
  </si>
  <si>
    <t>IMPUESTO AL REGISTRO</t>
  </si>
  <si>
    <t xml:space="preserve">
Gerente General</t>
  </si>
  <si>
    <t>Mejora de la Infraestructura  Social del Departamento del Quindío</t>
  </si>
  <si>
    <t xml:space="preserve">Desarrollo de Programas y Proyectos, en los componentes de vivienda, infraestructura, equipamiento colectivo y comunitario.
</t>
  </si>
  <si>
    <t>Construcción, mejoramiento y/o rehabilitación de la infraestructura de escenarios deportivos y/o recreativos.</t>
  </si>
  <si>
    <t>EPD</t>
  </si>
  <si>
    <t>Gerente General</t>
  </si>
  <si>
    <t>Mantener, mejorar y/o rehabilitar la Infraestructura instituciones educativas en el departamento del Quindío.</t>
  </si>
  <si>
    <t>Apoyar la construcción, el mantenimiento, el mejoramiento y/o la rehabilitación de la infraestructura de dos (2) equipamientos públicos y colectivos del Departamento del Quindío.</t>
  </si>
  <si>
    <t>Numero de equipamientos públicos y colectivos apoyados</t>
  </si>
  <si>
    <t>Construcción, mantenimiento, mejoramiento y/o la rehabilitación de la infraestructura de equipamientos públicos y colectivos.</t>
  </si>
  <si>
    <t>3</t>
  </si>
  <si>
    <t>Mejoramiento y/o construcción de vivienda urbana y rural.</t>
  </si>
  <si>
    <t>LEONARDO RODRIGUEZ OSPINA</t>
  </si>
  <si>
    <t>Gerente General - ProviQuindío.</t>
  </si>
  <si>
    <t>Proyectó: Diego Fernando Ramirez Restrepo</t>
  </si>
  <si>
    <t>Profesional Universitario - Contratista.</t>
  </si>
  <si>
    <t>PROGRAMACION PLAN DE ACCIÓN
SECRETARIA DE REPRESENTACION JUDICIAL
I TRIMESTRE 2019</t>
  </si>
  <si>
    <t>E</t>
  </si>
  <si>
    <t>Establecer y socializar veinte (20)  políticas desde la cultura de la legalidad y  la prevención de daño antijurídico en  el Departamento.</t>
  </si>
  <si>
    <t>Número muncipios con políticas establecidas</t>
  </si>
  <si>
    <t>0317 - 5 - 3 1 5 26 83 17 131 - 20</t>
  </si>
  <si>
    <t>201663000-0131</t>
  </si>
  <si>
    <t xml:space="preserve">Formulación, adopción e implementación de políticas de prevención del daño antijurídico en el Departamento del Quindío. </t>
  </si>
  <si>
    <t>Fortalecer los procesos, procedimienros y actuaciones de la administración para el cumplimiento de su misisón institucional</t>
  </si>
  <si>
    <t>Identificar las causas que generan daños antijurídicos en el Departamento.</t>
  </si>
  <si>
    <t>Estudio y análisis de  los procesos que cursan o  hayan cursado contra el departamento para identificar las causas generadoras de daños antijuridicos teniendo en cuenta los tipos de daños por los cuales resulta demandado el Departamento, las deficiencias en las actuaciones .administrativas y el índice de condenas en contra del Departamento.</t>
  </si>
  <si>
    <t>Ordinario</t>
  </si>
  <si>
    <t>Secretario de Representación Judicial y Defensa del Departamento</t>
  </si>
  <si>
    <t>Diseño de las propuestas dirigidas a la adopción de medidas de indole preventivo y correctivo  que permitan reducir la incidencia de daños antijurídicos en el Departamento.</t>
  </si>
  <si>
    <t>Adoptar e implementar políticas de prevención de daños antijurídicos y socializarlas al interior de la administración departamental, propendiendo por la salvaguarda de los bienes e intereses jurídicos de terceros legalmente protegidos.</t>
  </si>
  <si>
    <t>Proyección y elaboración de actos administrativos para la adopción de las politicas de prevención de daños antijuridicos formuladas para su acatamiento obligatorio por parte de las Secretarías y demás dependencias del Departamento.</t>
  </si>
  <si>
    <t>Socialización de las politicas de prevención de daños antijuridicos en cada una  de las Secretarías y demás dependencias en el Departamento.</t>
  </si>
  <si>
    <t>JAMER CHAQUIP GIRALDO MOLINA</t>
  </si>
  <si>
    <t xml:space="preserve">PROGRAMACION PLAN DE ACCIÓN
SECRETARIA DE SALUD
A 31 DE MARZO DE 2019
</t>
  </si>
  <si>
    <t xml:space="preserve"> INCLUSION SOCIAL</t>
  </si>
  <si>
    <t xml:space="preserve">Fortalecimiento a la vigilancia en  la seguridad alimentaria y nutricional del Quindío. </t>
  </si>
  <si>
    <t xml:space="preserve">Implementar una estrategia que determine de forma oportuna el  número de brotes de enfermedades transmitidas por alimentos (ETA) con agente etiológico identificado en alimentos de mayor consumo.
</t>
  </si>
  <si>
    <t>No</t>
  </si>
  <si>
    <t>1803 - 5 - 3 1 3 11 35 2 132 - 61</t>
  </si>
  <si>
    <t>201663000-0132</t>
  </si>
  <si>
    <t>Aprovechamiento biológico y consumo de  alimentos idoneos  en el Departamento del Quindio</t>
  </si>
  <si>
    <t xml:space="preserve">Disminuir o mantener la proporción de niños menores de 5 años en riesgo de desnutrición moderada o severa aguda
</t>
  </si>
  <si>
    <t xml:space="preserve">Fortalecer la estrategia que determine el número de brotes de enfermedades transmitidas por alimentos (ETA) 
</t>
  </si>
  <si>
    <t>Realizar acciones de Inspección, Vigilancia y Control de alimentos y Bebidas alcohólicas de consumo humano en el Departamento del Quindío.</t>
  </si>
  <si>
    <t xml:space="preserve">SGP - Salud Pública </t>
  </si>
  <si>
    <t>N/A</t>
  </si>
  <si>
    <t>Cesar Augusto Rincón Zuluaga
Secretario de Salud</t>
  </si>
  <si>
    <t>Divulgación de las políticas, normas y procedimientos, brindando la asesoría pertinente para promover el cumplimiento de la reglamentación con miras a la protección de la salud, en  programas institucionales.</t>
  </si>
  <si>
    <t>Actualizar de censo de establecimientos de alimentos y bebidas para el 2018</t>
  </si>
  <si>
    <t>Articular acciones de informacion, educacion y comunicación, relacionada con la manipulacion adecuada de alimentos en  las actividades PIC 2018</t>
  </si>
  <si>
    <t>Realizar vigilancia sanitaria en establecmientos de alimentos, relacionados con enfermedades transmitidas por alimentos (ETA), en los muncipios de competencia del Departamento.</t>
  </si>
  <si>
    <t>Implementar sistema de informacion que permita programar y priorizar las accciones de Inspeccion, Vigilancia y Control con enfoque de reisgo en alimentos y bebidas.</t>
  </si>
  <si>
    <t>Articular con el laboratorio departamental de salud publica (LDSP) la programacion y ejecucion de la toma de muestras de alimetnos y bebidas.</t>
  </si>
  <si>
    <t xml:space="preserve">Ejecutar el plan decenal de lactancia materna </t>
  </si>
  <si>
    <t xml:space="preserve">Cumplir con  el tiempo de la practica de la lactancia Materna exclusiva
</t>
  </si>
  <si>
    <t>Realizar concertación intersectorial para la formulación de planes y proyectos que desarrollen el componente de seguridad alimentaria y nutricional de consumo y aprovechamiento biológico.</t>
  </si>
  <si>
    <t xml:space="preserve">Realizar acompañamiento a la promocion proteccion y apoyo de la lactancia materna en el marco de la celebracion de la semana muncial de la lactancia materna y del dia mundial de la alimentacion . </t>
  </si>
  <si>
    <t xml:space="preserve">Realizar acompañamiento al proceso de certificacion  de la estrategia IAMI en 11 IPS públicas del departamento. </t>
  </si>
  <si>
    <t>Realizar consolidacion del indicador de lactancia materna exclusiva año 2016-2019.</t>
  </si>
  <si>
    <t>Realizar capacitación a 11 municipios en alianza con la dimensión de salud en el ámbito laboral para la promoción, protección y apoyo de la lactancia materna.</t>
  </si>
  <si>
    <t>Fortalecer la atención integral  en seis (6) poblaciones vulnerables (etnias)  en menores de cinco años con casos de desnutrición</t>
  </si>
  <si>
    <t>Fortalecer la  atencion nutricional en poblaciones indigenas del departamento.</t>
  </si>
  <si>
    <t>Realizar seguimiento a casos de desnutrición, bajo peso al nacer y mortalidad por desnutrición notificados por el SIVIGILA con enfoque diferencial.</t>
  </si>
  <si>
    <t>Realizar búsqueda activa institucional y comunitaria de casos de desnutrición aguda en poblaciones etnias en el departamento.</t>
  </si>
  <si>
    <t>Realizar seguimiento a la implementación de la ruta de atención integral a la desnutrición en menores de 5 años en poblaciones vulnerables etnias del departamento.</t>
  </si>
  <si>
    <t>Realizar vigilancia en establecmientos educativos en el marco del programa de alimentacion escolar PAE y en poblaciones vulnerables.</t>
  </si>
  <si>
    <t>Realizar seguimiento a la implementacion de la Resolucion 5406/2015 y 2465/2016.</t>
  </si>
  <si>
    <t>Realizar acompañamiento en la implementacion en guías alimentarias basadas en alimentos y estilos de vida saludable.</t>
  </si>
  <si>
    <t>Realizar capacitación en guías alimentarias basadas en alimentos y estilos de vida saludable.</t>
  </si>
  <si>
    <t>Salud Pública para un Quindío saludable y posible</t>
  </si>
  <si>
    <t>Salud ambiental</t>
  </si>
  <si>
    <t>Formular, aprobar y divulgar  la Política Integral de Salud Ambiental (PISA)</t>
  </si>
  <si>
    <t>1803 - 5 - 3 1 3 12 36 2 133 - 61</t>
  </si>
  <si>
    <t>201663000-0133</t>
  </si>
  <si>
    <t>Control Salud Ambiental Departamento del Quindío.</t>
  </si>
  <si>
    <t>Disminuir  los factores de riesgo sanitarios y ambientales asociados a eventos de interés en salud pública relacionados con la salud ambiental como el aumento de la carga contaminante del agua, entre otros.</t>
  </si>
  <si>
    <t xml:space="preserve">Adoptar e implementar en el departamento de la  Política integral de salud ambiental PISA reglamentada  </t>
  </si>
  <si>
    <t>Realizar actividades de caracterización y educación sanitaria y ambiental en el marco de la implementacion de la estrategia entornos saludables, en los entornos de viviendas, educativos y comunitarios con el abordaje integral de las políticas, normas y procedimientos relacionados con la prevencion vigilancia y control de factores de riesgo de la salud</t>
  </si>
  <si>
    <t xml:space="preserve">Generar los mapas de riesgo y vigilancia de la calidad de agua para consumo humano en  los doce (12) municipios del departamento </t>
  </si>
  <si>
    <t>Fortalecer la gestion intersectorial en el cumplimiento de la normatividad relacionada con la elaboracion de mapas de riesgo</t>
  </si>
  <si>
    <t>Generar  espacios  intersectoriales  para  la  construccion y actualizacion de los mapas de riesgo de calidad de agua de consumo humano  deacuerdo a la Resolución 4716 de 2010)</t>
  </si>
  <si>
    <t>Mantener  en 11 municipios de competencia departamental la vigilancia en los sistemas de potabilizacion, mediante la  de la aplicación de buenas practicas sanitarias y reporte de muestras de agua potable.</t>
  </si>
  <si>
    <t>Realizar analisis de la persistencia y aparicion de factores de riesgo en las fuentes abastecedoras con el fin de generar la actualizacion anual de los mapas de riesgo de calidad de agua para consumo humano</t>
  </si>
  <si>
    <t>Sexualidad, derechos sexuales y reproductivos</t>
  </si>
  <si>
    <t>Lograr que ocho (8) municipios del departamento operen el sistema de vigilancia en salud pública de la violencia intrafamiliar.</t>
  </si>
  <si>
    <t>1803 - 5 - 3 1 3 12 37 2 134 - 61</t>
  </si>
  <si>
    <t>201663000-0134</t>
  </si>
  <si>
    <t>Fortalecimiento de acciones de intervención inherentes a los derechos sexuales y reproductivos  en el Departamento del Quindio.</t>
  </si>
  <si>
    <t xml:space="preserve"> Disminuir de los eventos de interés en salud pública relacionados con la salud sexual y reproductiva en especial de la mortalidad materna  </t>
  </si>
  <si>
    <t xml:space="preserve">Garantizar la  atención integral a la población en salud sexual y reproductiva </t>
  </si>
  <si>
    <t xml:space="preserve">Desarrollar acciones de fortalecimiento de capacidades del talento humano protección y justicia en la estrategia de abordaje integral de las violencias de género y violencias sexuales y normatividad vigente. </t>
  </si>
  <si>
    <t>Realizar asistencia técnica y evaluación a la gestión del riesgo en salud de las EAPB y ESE en el abordaje integral de las violencias de género y violencias sexuales.</t>
  </si>
  <si>
    <t>Analizar trimestralmente el comportamiento del evento de violencias sexuales, identificar hallazgos frente a las barreras en la calidad de la atención y retroalimentar al área de inspección, vigilancia y control los hallazgos frente a las demoras de acuerdo a los análisis individuales de los casos.</t>
  </si>
  <si>
    <t>Desarrollar y realizar seguimiento al plan de acción del Comité Departamental consultivo  intersectorial e interinstitucional para el abordaje integral de las violencias de género y violencias sexuales en niños, niñas y adolescentes (Resolución 587 del 14 agosto del 2018)</t>
  </si>
  <si>
    <t>Desarrollar acciones articuladas intersectorialmente en los doce (12) municipios del departamento, con enfoque de derechos en colectivos LGTBI, jóvenes, mujeres gestantes adolescentes.</t>
  </si>
  <si>
    <t>Desarrollar acciones de fortalecimiento de capacidades del talento humano, en la estrategia de acceso universal a la prevención y atención integral en IT-VIH/SIDA.</t>
  </si>
  <si>
    <t>Realizar asistencia técnica y evaluación a la gestión del riesgo en salud de las EAPB, ESE y Programas regulares en la estrategia de acceso universal a la prevención y atención integral en IT-VIH/SIDA.</t>
  </si>
  <si>
    <t>Analizar trimestralmente el comportamiento del evento de VIH, TRASMISIÓN MATERNO INFANTIL DE VIH y HEPATITIS B, C y DELTA, identificar hallazgos frente a las barreras en la calidad de la atención y retroalimentar al área de inspección, vigilancia y control los hallazgos frente a las demoras de acuerdo a los análisis individuales de los casos.</t>
  </si>
  <si>
    <t>Realizar seguimiento a las IPS y centros de atención en la  gestión del riesgo en salud a personas que se inyectan drogas, en la estrategia de acceso universal a la prevención y atención integral en IT-VIH/SIDA.</t>
  </si>
  <si>
    <t>Desarrollar acciones encaminadas a dar respuesta al plan nacional de actividades colaborativas TB/VIH involucrando todos los actores del SGSSS y la sociedad civil.</t>
  </si>
  <si>
    <t>Vincular cuatro mil ochocientos (4.800) mujeres gestantes al programa de control prenatal antes de la semana 12 de edad gestacional.</t>
  </si>
  <si>
    <t>Implementar programa del  control prenatal antes de la semana 12 de la edad gestacional</t>
  </si>
  <si>
    <t>Realizar seguimiento a los embarazos de alto riesgo  detectados en todo el departamento del Quindío para que se garantice desde las EAPB la intervención del riesgo en salud.</t>
  </si>
  <si>
    <t>Realizar diagnóstico de la situación de embarazos en adolescente en edades entre 10 - 19 años, en el departamento del Quindío.</t>
  </si>
  <si>
    <t xml:space="preserve">Realizar asistencia técnica a EPS  e IPS en el programa de consulta preconcepcional con calidad, basada en educación en salud, para todas la parejas potencialmente fértiles, que asegure un recién nacido sano. </t>
  </si>
  <si>
    <t>Realizar  búsqueda activa institucional y comunitaria  de mujeres embarazadas a través de las IPS, EPS y líderes comunitarios en todo el departamento del Quindío.</t>
  </si>
  <si>
    <t>Establecer acuerdos con IPS y EAPB que aseguren la captación temprana de la gestante antes de la semana 12, a través de las acciones de promoción de la salud e identificación del riesgo.</t>
  </si>
  <si>
    <t xml:space="preserve">Capacitar a las redes sociales y comunitarias en la identificación del riesgo colectivo de las gestantes y en la captación temprana - PIC.  </t>
  </si>
  <si>
    <t xml:space="preserve">Realizar seguimiento y control a la aplicación del TSH neonatal  por parte de los aseguradores y prestadores a todos los recién nacidos institucionalizados y no institucionalizados en el departamento. </t>
  </si>
  <si>
    <t xml:space="preserve">Realizar asistencia técnica y seguimiento EPS  e IPS, en protocolos de atención del evento de sífilis gestacional y congénita y otras infecciones en las gestantes. </t>
  </si>
  <si>
    <t>Adaptar y realizar la verificación en la aplicación de la ruta de atención  integral, en la población gestante del departamento del Quindío</t>
  </si>
  <si>
    <t>Desarrollar y realizar seguimiento al plan de acción del comité departamental de maternidad segura. (Resolución 533 del 02 junio del 2015)</t>
  </si>
  <si>
    <t>Canalizar acciones de promoción de la salud en el desarrollo de la política Nacional de sexualidad, derechos sexuales y reproductivos</t>
  </si>
  <si>
    <t>Desarrollar acciones de fortalecimiento de capacidades del talento humano, en la Estrategia Nacional de Servicios de Salud Amigables para Adolescentes y Jóvenes, rutas de atención diferenciada, redes sociales, comunitarias y veedurías juveniles.</t>
  </si>
  <si>
    <t xml:space="preserve">Realizar asistencia técnica y evaluación a las ESE de primer nivel en la Estrategia Nacional de Servicios de Salud Amigables para Adolescentes y Jóvenes, rutas de atención diferenciada, redes sociales, comunitarias y veedurías juveniles. </t>
  </si>
  <si>
    <t>Desarrollar y realizar seguimiento al plan de acción del comité departamental de sexualidad, derechos sexuales y reproductivos. (Resolución 533 del 02 junio del 2015)</t>
  </si>
  <si>
    <t>Realizar asistencia técnica y evaluación a las 12 Secretarias de salud municipales en la Dimensión de sexualidad, derechos sexuales y reproductivos.</t>
  </si>
  <si>
    <t>Desarrollar y realizar seguimiento al  Plan de acción del subcomité departamental de promoción y prevención de las ITS-VIH/SIDA (Resolución 533 del 02 junio del 2015)</t>
  </si>
  <si>
    <t>Convivencia social y salud mental</t>
  </si>
  <si>
    <t>Ajustar e implementar  la política de salud mental en los 12 municipios del Departamento, conforme a los lineamientos y desarrollos técnicos definidos por el Ministerio de Salud y Protección Social.</t>
  </si>
  <si>
    <t>1803 - 5 - 3 1 3 12 38 2 135 - 61</t>
  </si>
  <si>
    <t>201663000-0135</t>
  </si>
  <si>
    <t>Fortalecimiento, promoción de la salud y prevención primaria en salud mental en el Departamento del Quindío.</t>
  </si>
  <si>
    <t>Disminuir la morbimortalidad asociada a la salud mental principalmente de la violencia intrafamiliar</t>
  </si>
  <si>
    <t>Implementar los lineamientos  del Ministerio de Salud y Protección Social frente a la ajustes e implementación de política y el plan nacional de salud mental</t>
  </si>
  <si>
    <t>Asistencia técnica a la Universidad del Quindío en la implementación de las zonas de orientación universitaria y el modelo de inclusión social.</t>
  </si>
  <si>
    <t>Definición de líneas operativas y prioridades a seguir para el plan de intervenciones colectivas, bajo lineamientos del plan de salud territorial, de la dimensión de convivencia social y salud mental.</t>
  </si>
  <si>
    <t>Formación y capacitación al personal de las IPS, EPS, Planes locales de Salud y entidades que desarrollan acciones encaminadas a la atención de la salud mental con énfasis en MH - GAP y estrategia treanet</t>
  </si>
  <si>
    <t>Realizar el III seminario de actualización en investigación, prevención y atención de la conducta suicida, en el marco de la formulación de la Política en Salud Mental</t>
  </si>
  <si>
    <t>Realizar mesas de trabajo con la sociedad civil, EPS, Médicos especialistas en psiquiatría, para la implementación de los protocolos atención del espectro autista, así como la socialización de las guías de atención en depresión, consumo de alcohol, esquizofrenia.</t>
  </si>
  <si>
    <t>Realizar mesas de trabajo  EPS,  para la socialización de las guías de atención en salud mental y spa, coberturas en salud mental (ley 1438 del 2011, resolución 5592 del 2015, ley 1616 del 2013, ley 1566 del 2012, rutas de atención, política actual de drogas y atención integral a víctimas de violencia) entre otros.</t>
  </si>
  <si>
    <t>Realizar monitoreo y seguimiento a los casos notificados en el SIVIGILA en los eventos de interés  en salud pública y de competencia directa de la Dimensión de convivencia social y salud mental.</t>
  </si>
  <si>
    <t>Realizar acompañamiento a la mesa de trabajo del programa de habitante de calle, para la formulación de la política pública según ley 1641 del 2013.</t>
  </si>
  <si>
    <t>Realizar mesas de coordinación, organización y operativización del comité departamental de reducción del consumo de sustancias psicoactivas - ordenanza 051 del 2010 y apoyo  técnico a la secretaria del interior en el consejo seccional de estupefaciente</t>
  </si>
  <si>
    <t>Adoptar e implementar el modelo de Atención primaria en Salud Mental (APS) en todos los municipios Quindiano</t>
  </si>
  <si>
    <t>Establecer lineamientos de planificación en la Atención primaria en Salud Mental (APS) en todos los municipios Quindiano</t>
  </si>
  <si>
    <t>Realizar asistencia técnica a la universidad del Quindío en la implementación de las zonas de orientación universitaria y el modelo de inclusión social.</t>
  </si>
  <si>
    <t>Realizar formación y capacitación a orientadores escolares del departamento del Quindío, en normatividad actual, rutas de atención y protocolos de vigilancia en la Dimensión de Convivencia Social y Salud Mental.</t>
  </si>
  <si>
    <t>Realizar formación y capacitación a las familias y cuidadores de personas diagnosticadas con esquizofrenia en conjunto con la Asociación Colombiana de Esquizofrenia</t>
  </si>
  <si>
    <t>Brindar asesoría, asistencia técnica y realizar acciones de vigilancia y monitoreo  a los entes municipales en la línea  de convivencia social y salud mental (violencia, conducta suicida, entre otros)</t>
  </si>
  <si>
    <t>Realizar mesas de trabajo de asesoría y asistencia técnica  con  EPS, en normatividad vigente en salud mental, convivencia social, rutas de atención y seguimiento a casos</t>
  </si>
  <si>
    <t>Adoptar  e implementar en los doce (12) municipios el plan departamental de la reducción del consumo de sustancias psicoactivas SPA conforme a lineamientos y desarrollos técnicos entorno a la demanda</t>
  </si>
  <si>
    <t>Articular las políticas públicas de reducción de la oferta y reducción de la demanda de sustancias psicoactivas licitas e ilícitas.</t>
  </si>
  <si>
    <t>Brindar asesoría, asistencia técnica y realizar acciones de vigilancia y monitoreo a las instituciones que cuentan con programas ambulatorios de mantenimiento con método de baja y mediana complejidad, en el departamento del Quindío.</t>
  </si>
  <si>
    <t>Asistencia técnica y  seguimiento a la notificación del sistema único de indicadores de centros de atención a la drogadicción (SUICAD).</t>
  </si>
  <si>
    <t>Mesas de trabajo con usuarios y sus familias de los diferentes programas de sustitución con metadona.</t>
  </si>
  <si>
    <t>Coordinación y organización de las mesas técnicas intersectoriales para los ajustes y adaptación del Plan Nacional Para la Promoción de la Salud, la Prevención, y la Atención del Consumo de Sustancias Psicoactivas 2014 - 2021.</t>
  </si>
  <si>
    <t>Formación y capacitación al personal de las IPS, EPS, Planes locales de Salud y entidades que desarrollan acciones encaminadas a la implementación del modelo de inclusión social de base comunitaria (zonas de orientación universitaria y centros de escucha), primer ciclo de formación en atención primaria en salud mental y spa..</t>
  </si>
  <si>
    <t>Estilos de vida saludable y condiciones no-transmisibles</t>
  </si>
  <si>
    <t>Implementar la estrategia  denominada "Cuatro por cuatro" para la promoción de la alimentación saludable</t>
  </si>
  <si>
    <t>1803 - 5 - 3 1 3 12 39 2 138 - 61</t>
  </si>
  <si>
    <t>201663000-0138</t>
  </si>
  <si>
    <t xml:space="preserve">Control y vigilancia en las acciones de condiciones no transmisibles y promoción de estilos de vida saludable en el Quindio  </t>
  </si>
  <si>
    <t>Disminuir la carga de la enfermedad asociada a las enfermedades crónicas no trasmisibles</t>
  </si>
  <si>
    <t xml:space="preserve"> Realizar campañas  de promoción y prevención que orienten la adopción de estilos de vida saludable</t>
  </si>
  <si>
    <t>Desarrollar acciones de  promoción de la salud en Enfermedades Crónicas No Transmisibles (cardiovasculares, diabetes, epoc, salud visual, auditiva y comunicativa) y gestión del riesgo (cáncer de mama, cuello, infantil y enfermededades huérfanas raras, exposición a flúor)con los diferentes grupos poblacionales y los diferentes contextos (PIC)</t>
  </si>
  <si>
    <t>Asistir en la implementación de actividades para la promoción de modos, condiciones y estilos de vida saludable, relacionadas con las enfermedades no transmisibles en el entorno escolar y realizar el respectivo seguimiento.</t>
  </si>
  <si>
    <t>Brindar asistencia técnica y evaluar en 20 instituciones educativas la implementación de  la estrategia Tiendas escolares Saludables de 11 municipios de competencia departamental y hacer el respectivo seguimiento.</t>
  </si>
  <si>
    <t>Realizar asistencia técnica a los Planes Locales de Salud en la gestión intersectorial para la promoción de estilos de vida saludables (alimentación saludable, actividad física, alcohol y cigarrillo) en los diferentes entornos educativo, laboral y comunitario.</t>
  </si>
  <si>
    <t>Implementar una estrategia de ambientes libres de humo de tabaco en los  municipios.</t>
  </si>
  <si>
    <t>Articular estrategias interinstitucionales que garanticen la integralidad en la atención de los usuarios</t>
  </si>
  <si>
    <t>Verificar el nivel de cumplimiento  de la ley 1335 de 2009 enfocada en espacios libres de humo (no consumo o exposición al tabaco y sus derivados) en  11 instituciones educativas de competencia departamental.</t>
  </si>
  <si>
    <t>Realizar asistencia técnica y seguimiento a la red de prestadores y aseguradores del departamento, en la  implementación de guías de atención y tamizajes de las enfermedades no transmisibles especialmente en prestadores de primer nivel de atención, bajo la estrategia de APS.</t>
  </si>
  <si>
    <t xml:space="preserve">Ejecutar el plan de intervención de la exposición a flúor en el departamento de acuerdo a los riesgos identificados en la fase IV. </t>
  </si>
  <si>
    <t xml:space="preserve">Realizar el análisis trimestral de los resultados obtenidos en la Búsqueda Activa Institucional, generar planes de mejoramiento y seguimiento a los  hallazgos encontrados a prestadores y aseguradores y realizar su respectivo reporte a nivel nacional. </t>
  </si>
  <si>
    <t>Implementar una estrategia para mantener la edad de inicio de consumo de tabaco en los adolescentes escolarizados.</t>
  </si>
  <si>
    <t>Adoptar guías y protocolos de atención de las enfermedades crónicas no transmisibles por parte de las EPS e IPS</t>
  </si>
  <si>
    <t>Fortalecer con la instancia intersectorial las acciones de intervención orientadas a la disminución de riesgo de consumo de tabaco en toda la comunidad educativa, incluidos los padres de familia.</t>
  </si>
  <si>
    <t xml:space="preserve">Aportar las evidencias que permitan la identificación en la gestión del riesgo en la oportunidad del tratamiento del paciente como complemento en la realización de unidades de análisis de las muertes de interés en salud pública convocadas por Sivigila, verificando adherencia a la metodología "ruta de la vida camino a la supervivencia", generación de planes de mejoramiento e informe de proceso de seguimiento. </t>
  </si>
  <si>
    <t>Realizar asistencia técnica, seguimiento y monitoreo a la gestión del riesgo en salud de los administradores y prestadores en el abordaje integral de la dimensión de vida saludable y condiciones no transmisibles, para realizar acuerdos con las EPS e IPS y definir planes de acción.</t>
  </si>
  <si>
    <t>Vida saludable y enfermedades transmisibles</t>
  </si>
  <si>
    <t xml:space="preserve">Diseñar y desarrollar planes y/o programas en los doce (12) entes territoriales municipales de promoción y prevención de las enfermedades transmitidas por agua, suelo y alimentos </t>
  </si>
  <si>
    <t>0318 - 5 - 3 1 3 12 40 2 139 - 20
1803 - 5 - 3 1 3 12 40 2 139 - 61</t>
  </si>
  <si>
    <t>201663000-0139</t>
  </si>
  <si>
    <t>Fortalecimiento de las acciones de la prevención y protección en la población infantil en el Departamento del Quindío</t>
  </si>
  <si>
    <t>Reducir la exposición a condiciones y factores de riesgo ambientales, sanitarios y biológicos, de las contingencias y daños producidos por las enfermedades transmisibles</t>
  </si>
  <si>
    <t xml:space="preserve">Fortalecimiento de la red de frío del Programa ampliado de inmunización (PAI).
</t>
  </si>
  <si>
    <t>Realizar la caracterización de las condiciones sanitarias de las familias de la zona rural en condiciones de vulnerabilidad de los 11 municipios del departamento del Quindío.</t>
  </si>
  <si>
    <t xml:space="preserve">Ejecutar conjuntamente con el equipo de Salud Ambiental, las intervenciones concernientes a la promoción de prácticas claves de la estrategia AIEPI comunitario en entornos saludables (vivienda y escuela). </t>
  </si>
  <si>
    <t>Realizar el monitoreo y evaluación de las acciones de gestión del riesgo, adherencia a guías y protocolos de enfermedades transmitidas por agua, suelo y alimentos, con las EAPB y ESES del Departamento.</t>
  </si>
  <si>
    <t>Realizar mesas técnicas para el análisis, evaluación y seguimiento de las acciones de prevención de enfermedades transmitidas por agua, suelo y alimentos, con vigilancia en salud pública.</t>
  </si>
  <si>
    <t>Implementar una estrategia que permita garantizar el adecuado funcionamiento de la red de frío para el almacenamiento  de los biológicos del Programa ampliado de inmunización (PAI).</t>
  </si>
  <si>
    <t xml:space="preserve">Fortalecimiento de los protocolos para la prevenciÓn y control de las enfermedades transmisibles
</t>
  </si>
  <si>
    <t>Realizar el abastecimiento permanente de las vacunas e insumos del PAI, según los lineamientos del programa ampliado de inmunizaciones.</t>
  </si>
  <si>
    <t>Realizar asistencia técnica a los municipios para asegurar el correcto almacenamiento, conservación y transporte de vacunas, bajo los estándares de calidad de la cadena de frio.</t>
  </si>
  <si>
    <t>Consolidar el registro de la información reportada sobre dosis aplicadas en el sistema de información nominal de las instituciones que brindan atención a la población menor de 5 años CDI en el departamento.</t>
  </si>
  <si>
    <t>Realizar la consolidación de la información generada por el programa ampliado de inmunizaciones, para reporte al MSPS con oportunidad, calidad e integralidad según el sistema de información nominal PAIWEB.</t>
  </si>
  <si>
    <t>Implementar  la estrategia de gestión integral-enfermedades de transmisión vectorial (EGI ETV) en los 5 municipios hiperendémicos para enfermedades de transmisión vectorial</t>
  </si>
  <si>
    <t xml:space="preserve">1803 - 5 - 3 1 3 12 40 2 141 - 111
1803 - 5 - 3 1 3 12 40 2 141 - 61
0318 - 5 - 3 1 3 12 40 2 141 - 20
1803 - 5 - 3 1 3 12 40 2 141 - 107
</t>
  </si>
  <si>
    <t>201663000-0141</t>
  </si>
  <si>
    <t xml:space="preserve">Fortalecimiento de estrategia de gestión integral, vectores, cambio climático y zoonosis en el Departamento  del Quindio </t>
  </si>
  <si>
    <t xml:space="preserve">Disminuir el indice de enfermedades trasmision vectorial y zoonosis en la poblacion  
</t>
  </si>
  <si>
    <t xml:space="preserve">Implementar estrategiaspara  la gestión integral para enfermedades de transmisión vectorial (EGI ETV) </t>
  </si>
  <si>
    <t>Realizar inspección vigilancia y control de focos de reproducción de vectores (dengue, Chikunguña y zika) en los 11 municipios de competencia Departamental.</t>
  </si>
  <si>
    <t>Res. 781/15 Prev. y control enfermedades por Vect</t>
  </si>
  <si>
    <t>Superavit Res. 781/15 Prev. y Control Enfermedades por Vectores</t>
  </si>
  <si>
    <t>Analizar mensualmente el comportamiento de los eventos de ETV y zoonosis y retroalimentar al área de IVC para garantizar la calidad en la atención de los casos reportados.</t>
  </si>
  <si>
    <t>Atender el 100% de los brotes y contingencias por ETV y Zoonosis en los municipios de categoría 4, 5 y 6 del Departamento del Quindío.</t>
  </si>
  <si>
    <t>Realizar asistencia técnica a los equipos a los equipos de los planes locales de salud en los cuatro municipios hiperendémicos para la adopción, adaptación y  desarrollo de la EGI- ETV y ZOONOSIS.</t>
  </si>
  <si>
    <t>Realizar jornadas de movilización y participación  social y comunitaria para generar cambios conductuales frente a  la eliminación de criaderos de vectores Dengue, Chikunguña y Zika mediante la estrategia COMBI en los municipios hiperendémicos.</t>
  </si>
  <si>
    <t>Realizar el monitoreo y evaluación a las acciones de gestión del riesgo, adherencia a guías y protocolos en las EAPB y Empresas Sociales del Estado que conduzcan a mejorar la calidad en la atención integral de pacientes con ETV y Zoonosis.</t>
  </si>
  <si>
    <t xml:space="preserve">Implementar la estrategia  para ampliar coberturas útiles de vacunación antirrábica en animales (perros y gatos). </t>
  </si>
  <si>
    <t xml:space="preserve"> Fortalecer acciones para aumentar coberturas útiles de vacunación antirrábica en animales (perros y gatos). 
</t>
  </si>
  <si>
    <t>Estimar la población de perros y gatos en las áreas urbana y rural en el 100% de los municipios de categoría 4, 5 y 6 del departamento del Quindío.</t>
  </si>
  <si>
    <t xml:space="preserve">Promover a nivel comunitario la tenencia responsable de animales de compañía y la promoción de la vacunación antirrábica. </t>
  </si>
  <si>
    <t>Realizar coordinación intersectorial en el marco del Consejo Territorial de Zoonosis.</t>
  </si>
  <si>
    <t>Realizar vacunación regular de perros y gatos a nivel urbano y rural en los 11 municipios de categoría 4, 5 y 6 del Departamento del Quindío.</t>
  </si>
  <si>
    <t>Implementar el plan estratégico hacia el fin de la tuberculosis</t>
  </si>
  <si>
    <t>201663000-0142</t>
  </si>
  <si>
    <t xml:space="preserve">Fortalecimiento de la inclusión social para la disminución de riesgos de contraer enfermedades transmisibles  en el Departamento del Quindio </t>
  </si>
  <si>
    <t xml:space="preserve">Aumentar la adeherencia al tratamiento de los pacientes con diagnositico de tuberculosis 
</t>
  </si>
  <si>
    <t>Fortalecimiento de las capacidades del recurso humano</t>
  </si>
  <si>
    <t>Brindar asistencia técnica y seguimiento al programa de tuberculosis y lepra dirigida a: Planes Locales de Salud, Ips publicas y Privadas, EAPB, laboratorios adscritos a la red publica y privada de los 12 municipios del departamento.</t>
  </si>
  <si>
    <t>SGP - Salud Pública</t>
  </si>
  <si>
    <t>Res  1029/16 Camp y control antituberculosis</t>
  </si>
  <si>
    <t>Res.1030/2016 Campaña control lepra QuindÍo</t>
  </si>
  <si>
    <t>Realizar capacitaciones al personal asistencial de las IPS en el programa de tuberculosis y lepra en el departamento.</t>
  </si>
  <si>
    <t>1803 - 5 - 3 1 3 12 40 2 142 - 113</t>
  </si>
  <si>
    <t>Realizar el análisis e intervención a los casos especiales de farmacorresistencia del programa de tuberculosis. " CERCET" Comite Evaluador  Regional de Casos Especiales de Tuberculosis.</t>
  </si>
  <si>
    <t>Res.  1029/16 Camp y control antituberculosis</t>
  </si>
  <si>
    <t>1803 - 5 - 3 1 3 12 40 2 142 - 114</t>
  </si>
  <si>
    <t>Acompañar la vigilancia de cumplimiento a guías, lineamientos y protocolos  en tuberculosis y lepra</t>
  </si>
  <si>
    <t>1803 - 5 - 3 1 3 12 40 2 142 - 61</t>
  </si>
  <si>
    <t>Coordinar acciones para la gestión intersectorial</t>
  </si>
  <si>
    <t>Realizar mesas técnicas para la gestión del compromiso político, en la protección social y sistemas de apoyo de pacientes con tuberculosis y lepra.</t>
  </si>
  <si>
    <t>Hacer seguimiento a la implementacion y ejecucion de  los nuevos planes estratégicos de tuberculosis y lepra en los 12 municipios.</t>
  </si>
  <si>
    <t>Realizar campañas de prevención y atención integral en afectados por tuberculosis</t>
  </si>
  <si>
    <t>Realizar capacitaciónes dirigida a personas líderes,   para ser formadas como agentes comunitarios TB/VIH,</t>
  </si>
  <si>
    <t>Gestión de la prestación de los servicios en prevención y atención integral centrada en los afectados por tuberculosis y lepra. (rondas medicas, visita a pacientes).</t>
  </si>
  <si>
    <t xml:space="preserve">SGP - Salud Pública
</t>
  </si>
  <si>
    <t>Realizar actividades de promoción y prevención implementadas para la comunidad y grupos focalizados en tuberculosis y lepra en los 12 municipios del departamento. ( rondas medicas, busqueda de sintomaticos respiratorios y de piel, movilizaciones, talleres, sensibilizaciones , etc)</t>
  </si>
  <si>
    <t>Salud publica en emergencias y desastres</t>
  </si>
  <si>
    <t>Realizar catorce (14) simulacros de atención a emergencias en la Red Pública Hospitalaria</t>
  </si>
  <si>
    <t>1803 - 5 - 3 1 3 12 41 2 143 - 61</t>
  </si>
  <si>
    <t>201663000-0143</t>
  </si>
  <si>
    <t>Prevención en emergencias y desastres de eventos relacionados con la salud pública en el Departamento del  Quindio</t>
  </si>
  <si>
    <t>Coordinar acccuiones para la gestión integral  del riesgo en  situaciones de emergencias y desastres  en las IPS y autoridad sanitaria del departamento</t>
  </si>
  <si>
    <t xml:space="preserve">Actualizar planes de seguridad hospitalaria  en los hospitales de I y II nivel. </t>
  </si>
  <si>
    <t>Realizar estudios tecnicos para realizar 14 simulcros de atencion a emergencias en la red hospitalaria.</t>
  </si>
  <si>
    <t xml:space="preserve">Realizar asistencia técnica en la construcción y ejecución del plan bienal de inversiones, a once (11) Empresas sociales del estado (ESE) del departamento. </t>
  </si>
  <si>
    <t>Realizar 11 visitas de verificacion de aplicación protocolos y planes de emergecia hospitalaria a las eses publicas del departamento</t>
  </si>
  <si>
    <t>Mejorar el índice de seguridad hospitalaria en once (11) empresas sociales del estado (ESE) del departamento del nivel  I y II.</t>
  </si>
  <si>
    <t xml:space="preserve">Operar el Plan de Emergencias en Salud en el Departamento </t>
  </si>
  <si>
    <t xml:space="preserve">Actualizar y mantener la red de comunicaciones  para  situaciones de emergencias y desastres de la red hospitalaria y de la secretaria departamental de salud </t>
  </si>
  <si>
    <t xml:space="preserve">Actualizar, socializar e implementar  el plan integral  de emergencias de la secretaria de salud departamental. </t>
  </si>
  <si>
    <t>Capacitar a los hospitales para la integracion de los planes de emergencia hospitalaria con el plan de emergencia de  secretaria de salud.</t>
  </si>
  <si>
    <t>Fortalecer las capacidades tecnicas del CRUE departamental, en la regulacion de la referencia y contrarreferencia, implementando los lineamientos Rutas Integrales de Atencion en Salud.</t>
  </si>
  <si>
    <t>Salud en el entorno laboral</t>
  </si>
  <si>
    <t>Fomentar en 8 municipios un programa de cultura preventiva en el trabajo formal e informal y entornos laborales saludables.</t>
  </si>
  <si>
    <t>1803 - 5 - 3 1 3 12 42 2 145 - 61</t>
  </si>
  <si>
    <t>201663000-0145</t>
  </si>
  <si>
    <t>Prevención vigilancia y control de eventos de origen laboral en el Departamento del Quindío.</t>
  </si>
  <si>
    <t xml:space="preserve">Disminuir los eventos de origen laboral en los trabajadores del sector formal del Departamentodel Quindio 
</t>
  </si>
  <si>
    <t xml:space="preserve">Realizar campañas para el cumplimiento en la aplicacion de los deberes y derechos relacionados en el Sistema General de Riesgos Laborales tanto para empleadores como para trabajadores  </t>
  </si>
  <si>
    <t>Capacitar en prevención de riesgos laborales a las empresas del Sector económico con más alto índice de accidentalidad.</t>
  </si>
  <si>
    <t xml:space="preserve">Realizar la Identificación y caracterización de las mujeres trabajadoras del sector agrícola informal de los municipios  de Calarcá, Montenegro, Quimbaya, La Tebaida, Circasia, Salento, Filandia y Montenegro. </t>
  </si>
  <si>
    <t xml:space="preserve">Capacitar a las mujeres trabajadoras del sector agrícola de los municipios de Calarcá, Montenegro, Quimbaya, La Tebaida, Circasia, Salento, Filandia y Montenegro en derechos y deberes relacionados en el SGRL.   </t>
  </si>
  <si>
    <t>Formular el plan de acción para la prevención de trabajo infantil en el departamento del Quindío, en el marco del Comité Departamentales para la prevención y erradicación de trabajo infantil - CIETI.</t>
  </si>
  <si>
    <t>Identificar y caracterizar la población trabajadora en condición de informalidad con énfasis en el menor trabajador en los 11 municipios del departamento.</t>
  </si>
  <si>
    <t xml:space="preserve">Realizar una jornada Educativa con relación a Riesgos laborales a los empleadores del Dpto. </t>
  </si>
  <si>
    <t>Implementación en las 14 empresas sociales del estado (ESE) departamentales y de primer nivel, el Sistema de Gestión de la Seguridad y Salud en el Trabajo</t>
  </si>
  <si>
    <t xml:space="preserve">Implementar controles de cumplimiento por parte de los empleadores en lo reglamentado en el Sistema general de Riesgos Laborales. </t>
  </si>
  <si>
    <t>Realizar asistencia técnica  a los prestadores de primer nivel, para verificar el cumplimiento del Sistema de Gestión de la Seguridad y Salud en el Trabajo.</t>
  </si>
  <si>
    <t>Realizar jornada de sensibilización a los Empleadores para fomentar la afiliación al SGRL a sus empleados conforme a ley 1562 del 2012 y decreto 1443  del 2015.</t>
  </si>
  <si>
    <t>Brindar asistencia técnica a las ARLs en el diseño del SG-SST,  capacitación a las brigadas de primeros auxilios, COPASST  o VIGIA y la promoción de estilos de vida y trabajo saludable a la población trabajadora de sus empresas usuarias.</t>
  </si>
  <si>
    <t xml:space="preserve">Expedir las licencias y asistencias técnicas en Seguridad y Salud en el Trabajo. </t>
  </si>
  <si>
    <t>Analizar los eventos de origen laboral graves y mortales reportados por el Comité Seccional de Seguridad y Salud en el trabajo.</t>
  </si>
  <si>
    <t>Fortalecimiento de la autoridad sanitaria</t>
  </si>
  <si>
    <t>Consolidar y desarrollar en los 12 municipios del departamento el Sistema de Vigilancia en salud pública (SVSP), integrado al sistema de vigilancia y control sanitario e inspección vigilancia y control de (S.G.S.S.S).</t>
  </si>
  <si>
    <t xml:space="preserve">0318 - 5 - 3 1 3 12 43 2 146 - 20
1803 - 5 - 3 1 3 12 43 2 146 - 61
1803 - 5 - 3 1 3 12 43 2 146 - 63
</t>
  </si>
  <si>
    <t>201663000-0146</t>
  </si>
  <si>
    <t xml:space="preserve">Fortalecimiento de la autoridad sanitaria en el Departamento del Quindio </t>
  </si>
  <si>
    <t>Consolidar y desarrollar el sistema de vigilancia en salud pública integrado al sistema de vigilancia de control sanitario e inspección, vigilancia y control de S.G.S.S.S.</t>
  </si>
  <si>
    <t xml:space="preserve">  Aumentar la cobertura en acciones de inspeccion vigilancia y control</t>
  </si>
  <si>
    <t>Realizar vigilancia epidemiológica de plaguicidas en el marco del programa VEO con la toma de muestras de Acetilcolinesterasa en sangre a los individuos expuestos a plaguicidas  Organofosforados y Carbamatos.</t>
  </si>
  <si>
    <t>Análisis y seguimiento al comportamiento de los eventos por intoxicaciones de sustancias químicas y enfermedad diarreica aguda (EDAS), generada por el Sistema de Vigilancia y fuentes externas. realizando  asistencia técnica  a los actores de vigilancia en salud publica  en el departamento.</t>
  </si>
  <si>
    <t>Realizar seguimiento al proceso de gestion del riesgo indicvidual frente a las acciones de proteccion especifica y deteccion temprana desde el reporte del anexo tecnico de la resolucion 4505 de 2012 y el cumplimiento de la resolucion 3280 de 2018</t>
  </si>
  <si>
    <t>Implementar  una estrategia oportuna de atención a sujetos de atención,  objetos de procesos de  inspección, vigilancia y control sanitario</t>
  </si>
  <si>
    <t xml:space="preserve"> Articular los sistemas de vigilancia relacionados al control sanitario</t>
  </si>
  <si>
    <t xml:space="preserve">Realizar inspección vigilancia y control de las condiciones de seguridad,  higiénico sanitarias y ambientales a los objetos de interes comercial, tales que manejen sustancias químicas y residuos peligrosos con riesgo biologico, incluyendo los objetos de interes en saneamiento básico, </t>
  </si>
  <si>
    <t xml:space="preserve">Consolidar y desarrollar  el sistema de inspección vigilancia y control (SIVC)  en 150 establecimientos farmacéuticos del departamento. </t>
  </si>
  <si>
    <t>Realizar inspección  vigilancia y control para verificar las condiciones técnicas, higiénico sanitarias locativas y de calidad a los establecimientos farmacéuticos en los 12 municipios del departamento del Quindío.</t>
  </si>
  <si>
    <t>Fondo de Estupefacientes</t>
  </si>
  <si>
    <t xml:space="preserve">Suministrar medicamentos de control especial- monopolio del estado a los establecimientos farmacéuticos autorizados. </t>
  </si>
  <si>
    <t>Suministrar medicamentos de programas especiales a las IPS’s que lo requieran.</t>
  </si>
  <si>
    <t>Adquisición de mobiliario, equipos tecnológicos, de telecomunicación y computo del Fondo Rotatorio de Estupefacientes</t>
  </si>
  <si>
    <t>Realizar visitas a Establecimientos Farmacéuticos de acuerdo a los productos notificados por el Programa delegaciones INVIMA  en los 12 municipios del Departamento del Quindío.</t>
  </si>
  <si>
    <t>Análisis y seguimiento  al  comportamiento del evento de intoxicaciones por sustancias químicas  (Intoxicación por Fármacos)  de los casos notificadas al SIVIGILA  por las Unidades Notificadoras Municipal.</t>
  </si>
  <si>
    <t xml:space="preserve">Realizar educación en salud a través de las visitas domiciliarias PIC, en el manejo y uso adecuado de medicamentos en casa.  </t>
  </si>
  <si>
    <t xml:space="preserve">Publicar en la página de la gobernación un boletín con temas farmacéuticos, que  muestre la situación actual,  las intervenciones desarrolladas y las recomendaciones para la comunidad en general.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</si>
  <si>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</si>
  <si>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</si>
  <si>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 xml:space="preserve">1803 - 5 - 3 1 3 12 44 2 148 - 61
</t>
  </si>
  <si>
    <t>201663000-0148</t>
  </si>
  <si>
    <t>Implementación de programas de promoción social en poblaciones  especiales en el Departamento del Quindío.</t>
  </si>
  <si>
    <t>Fortalecer la gestión intersectorial en salud de los grupos con alta vulnerabilidad</t>
  </si>
  <si>
    <t>Garantizar el acceso en la prestación de los servicios de salud</t>
  </si>
  <si>
    <t>Realizar capacitaciones en el reconocimiento de la familia como un determinante del desarrollo infantil, reflejado  en el planteamiento y desarrollo de estrategias para promover  el cuidado y afecto familiar en el departamento del Quindío.</t>
  </si>
  <si>
    <t>Sensibilización  Prevención sobre el delito de trata de personas en los  municipios del Departamento,</t>
  </si>
  <si>
    <t>Realizar actividades de intercambio intergeneracional promiviendo el envejecimeinto activo en los 11 Municipios del Departamento (2 escuelas, e colegios Vs CBA)</t>
  </si>
  <si>
    <t>Brindar capacitacion  a la poblacion indigena en seguridad alimentaria, eliminacion de barreras en Salud.</t>
  </si>
  <si>
    <t>Capacitar a EPS IPS en la gararantia de la adecuacion de los servicios  de salud con perspectiva de genero, con atencion humanizada y de calidad de acuerdo cpn las diferentes necesidades de hombre mujeres según edad, pertenencia etnica, discapacidad orientacion sexual e identidad de genero y de acuerdo a los diferentes factores q generen o aumenten la vulnerabilidad.</t>
  </si>
  <si>
    <t>Brindar capacitaciones en Deberes y Derechos en Salud a las poblaciones vulnerables personas mayores, afrocolombianos, niños niñas y adolescentes, victimas del conflicto, poblacion LGTBI, poblacion en proceso de reinsercion, indigenas, personas con discapacidad, habitante de calle.</t>
  </si>
  <si>
    <t>Implementar el  Programa de atención psicosocial y salud integral a víctimas del conflicto armado.</t>
  </si>
  <si>
    <t xml:space="preserve">Implementar programas de participación social que garanticen los derechos de los grupos vulnerables </t>
  </si>
  <si>
    <t>Realizar jornadas de oferta institucional en el punto de atención UAO Miraflores, para identificar y eliminar barreras de acceso en la prestación de servicios de salud de la población víctima.</t>
  </si>
  <si>
    <t>Realizar Asistencia técnica a los prestadores de salud e instituciones del Sistema Nacional de Atención y Reparación Integral a las Víctimas del conflicto armado (art 52 ley 1448/2011 ), para la promoción  y difusión de la ruta del Programa de Atención psicosocial y Salud Integral a víctimas del Conflicto Armado PAPSIVI .</t>
  </si>
  <si>
    <t>Realizar Asistencia al  Programa de Atención Psicosocial y Salud Integral a Víctimas PAPSIVI en los municipios objeto de atencion</t>
  </si>
  <si>
    <t>Realizar el cargue trimestral de la información sobre la atención psicosocial a las Victimas en el aplicativo del PAPSIVI.</t>
  </si>
  <si>
    <t>Activar la funcionalidad del Comité de Víctimas creado al interior de la Secretaria de Salud Departamental con una periodicidad bimensual para garantizar sus derechos y deberes en salud</t>
  </si>
  <si>
    <t>Hacer seguimiento a las acciones de salud desarrolladas desde los PLS para las Victimas del desplazamiento cobijadas por los Autos 092, 251, 004, 005, 006</t>
  </si>
  <si>
    <t>Realizar capacitaciones en deberes y derechos en salud a la ´poblacion Victima con enfoque diferencial.</t>
  </si>
  <si>
    <t>Apoyar el establecimiento  y coordinación  de  redes integradas  de servicios de información en  salud (acceso del sector salud a VIVANTO).</t>
  </si>
  <si>
    <t>Fortalecimiento de  la estrategia AIEPI en los 12 municipios del Departamento</t>
  </si>
  <si>
    <t>Consolidar los programas de atención a la primera infancia</t>
  </si>
  <si>
    <t>Realizar asistencia técnica, seguimiento, vigilancia y control del Programa Ampliado de Inmunizaciones en  los 12  Municipios  del departamento, con el fin de lograr coberturas útiles (95%).</t>
  </si>
  <si>
    <t>Realizar asistencia técnica, seguimiento, vigilancia y control del Programa de Prevención, Diágnostico, Manejo y Control de la Infección Respiratoria Aguda en los 12 municipios del departamento.</t>
  </si>
  <si>
    <t>Realizar articulacion con las EAPB, IPS y Planes Locales de Salud mediante mesas de trabajo para garantizar las intervenciones en salud de la Población Infantil del Departamento.</t>
  </si>
  <si>
    <t>Realizar asistencia técnica, seguimiento, vigilancia y control de la Estrategia de Atención a Enfermedades Prevalentes de La Infancia-AIEPI en  los 12  Municipios  del departamento.</t>
  </si>
  <si>
    <t>Realizar asistencia técnica, seguimiento, vigilancia y control de la Estrategia de Desparasitación Antihelmíntica Masiva en  los 12  Municipios  del departamento.</t>
  </si>
  <si>
    <t>Realizar la implementación de la Ruta de Promoción y Mantenimiento de la Salud  para el curso de vida de Primera Infancia en el departamento.</t>
  </si>
  <si>
    <t>Fortalecer en los doce (12) municipios del departamento los  comités municipales de discapacidad</t>
  </si>
  <si>
    <t>Fortalecer atención integral a poblaciones vulnerables</t>
  </si>
  <si>
    <t>Brindar capacitación en registro de localización y caracterización de personas con discapacidad en los 12 municipios.</t>
  </si>
  <si>
    <t>Brindar apoyo en el monitoreo de las metas del registro de localización y caracterización de personas con discapacidad en los 12 municipios.</t>
  </si>
  <si>
    <t>Realizar seguimiento a las EAPB para el cumplimiento de la Circular 016 del 2014 (exención de copagos y cuotas moderadoras) y la Circular 010 del 2015 (atención integral de salud para personas con discapacidad), resolucion 1904 (salud sexual y reproductiva PcD).</t>
  </si>
  <si>
    <t>Realizar jornadas de capacitación en normatividad vigente en torno a la población con discapacidad.</t>
  </si>
  <si>
    <t>realizar seguimiento  La EAPB, para la implementacion y cumplimiento de la Resolucion 583 de 2018, certificacion de Discapacidad</t>
  </si>
  <si>
    <t>Fortalecimiento de liderres comunitarios en la estrategia de Rehabilitacion Basada en la Comunidad en los municipios del Departamento del Quindio</t>
  </si>
  <si>
    <t xml:space="preserve">brindar asistencia tecnica para el fortalecimiento de los comites municipales de Discapacidad, dirigida  a los enlaces de discapacidad de los 12 municipios del Departamento. </t>
  </si>
  <si>
    <t>Realizar visitas de asistencia, seguimiento y verificación de acceso, accesibilidad, red de servicios contratada, referencia y contrareferencia en la prestación de servicios de salud a las personas con discapacidad en la EAPB.</t>
  </si>
  <si>
    <t>Plan de intervenciones colectivas en el modelo de APS</t>
  </si>
  <si>
    <t>Evaluar en  once (11)   empresas sociales del estado (ESE)  Municipales la implementación del Plan de intervenciones colectivas (PIC).</t>
  </si>
  <si>
    <t>1803 - 5 - 3 1 3 12 45 2 150 - 61
1803 - 5 - 3 1 3 12 45 2 150 - 98</t>
  </si>
  <si>
    <t>201663000-0150</t>
  </si>
  <si>
    <t>Asistencia atención a las personas y prioridades en salud pública en el  Departamento del Quindío.</t>
  </si>
  <si>
    <t>Disminuir la morbimortalidad asociada  a la carga de la enfermedad por los determinantes sociales fortaleciendo  las acciones de complementariedad  a los municipios</t>
  </si>
  <si>
    <t>Mejorar los procesos de implementación de las actividades colectivas</t>
  </si>
  <si>
    <t>Realizar acciones de vacunacion canina y felina</t>
  </si>
  <si>
    <t>Realizar el censo de caninos y felinos</t>
  </si>
  <si>
    <t>Ejecutar las acciones de la estrategia COMBI en municipios hiperendémicos para enfermedades vectoriales</t>
  </si>
  <si>
    <t xml:space="preserve">Realizar acciones, intervenciones y procedimientos colectivos </t>
  </si>
  <si>
    <t>Auditoria a 8  planes de mejoramiento instaurados con la red pública ejecutora del Plan de Intervenciones Colectivas.</t>
  </si>
  <si>
    <t>Planes de mejoramiento instaurados  de Intervenciones Colectivas.</t>
  </si>
  <si>
    <t>Realizar auditoria a los planes de mejoramiento de intervenciones colectivas</t>
  </si>
  <si>
    <t>Vigilancia en salud publica y del laboratorio departamental.</t>
  </si>
  <si>
    <t xml:space="preserve">Realizar  la vigilancia sanitaria a 300 establecimientos de consumo (Aguas, Alimentos y Bebidas Alcohólicas) </t>
  </si>
  <si>
    <t>1803 - 5 - 3 1 3 12 46 2 151 - 61
1803 - 5 - 3 1 3 12 46 2 151 - 20</t>
  </si>
  <si>
    <t>201663000-0151</t>
  </si>
  <si>
    <t xml:space="preserve">Fortalecimiento de las actividades de vigilancia y control del laboratorio de salud pública en el Departamento del Quindio </t>
  </si>
  <si>
    <t xml:space="preserve">Mejorar la capacidad analítica del LSP Departamental  para dar respuesta  a las necesidades del Sistema de Vigilancia en Salud Pública
</t>
  </si>
  <si>
    <t>Garantizar equipos e insumos medios y reactivos para la realización  de los análisis normados</t>
  </si>
  <si>
    <t xml:space="preserve">Compra de reactivos, insumos y medios </t>
  </si>
  <si>
    <t>Compra de equipos de laboratorio</t>
  </si>
  <si>
    <t>Realizar análisis de muestras de alimentos, aguas, bebidas alcoholicas  que llegan al laboratorio en cumplimiento de la programacion y las muestras para ETAS Y  vigilancia que lleguen al laboratorio</t>
  </si>
  <si>
    <t>Realizar análisis de muestras    para la vigilancia de enfermedades de interés en salud publica enviados por los laboratorios de la red.</t>
  </si>
  <si>
    <t xml:space="preserve">Optimizar los procesos contractuales desde el LSP y  la DTS
</t>
  </si>
  <si>
    <t>Realizar evaluacion externa indirecta de citologias de cuello uterino a los laboratorios de la red</t>
  </si>
  <si>
    <t>Ejecutar el sistema de gestion de calidad y aseguramiento de metrologia en el laboratorio de salud publica.</t>
  </si>
  <si>
    <t>Adecuar infraestructura que de cumplimiento para el buen  funcionamiento del LSP</t>
  </si>
  <si>
    <t xml:space="preserve">Realizar el mantenimiento preventivo y correctivo de los equipos de laboratorio.  </t>
  </si>
  <si>
    <t>crear diez (10) y fortalecer noventa (90) Comités de Vigilancia 
Epidemiológica  Comunitaria 
(COVECOM) municipales.</t>
  </si>
  <si>
    <t>1803 - 5 - 3 1 3 12 46 2 152 - 61</t>
  </si>
  <si>
    <t>201663000-0152</t>
  </si>
  <si>
    <t>Fortalecimiento del sistema de vigilancia en salud pública en el Departamento del Quindío.</t>
  </si>
  <si>
    <t>Aumentar los índices de cumplimiento en los indicadores de calidad, cobertura y  oportunidad del sistema de vigilancia en salud publica departamental</t>
  </si>
  <si>
    <t>Aumentar la participación comunitaria en acciones ineherentes al sistema de vigilancia en salud publica.</t>
  </si>
  <si>
    <t>Actualizar el mapa social por cada uno de los COVECOM para la priorización de la gestión interinstitucional.</t>
  </si>
  <si>
    <t>Activar y Mantener 100 COVECOM en 11  municipios del Departamento.</t>
  </si>
  <si>
    <t>Apoyar el proceso de sistematización de la estrategia COVECOM, seguimiento de la notificación comunitaria, mejoramiento de la calidad de la información, medición de indicadores, Análisis de la información y generación de planes de mejoramiento.</t>
  </si>
  <si>
    <t>Consolidar y analizar la notificación comunitaria de 11 municipios del Departamento del Quindío.</t>
  </si>
  <si>
    <t>Sostener 83 Unidades Primarias Generadoras de Datos (UPGD) que integran el sistema de Vigilancia en Salud Publica</t>
  </si>
  <si>
    <t xml:space="preserve">Fortalecer  la capacidad instalada en los niveles institucionales y municipales frente al desarrollo de los procesos de Vigilancia en Salud Pública </t>
  </si>
  <si>
    <t>Desarrollar el  plan de asesoría y asistencia técnica dirigido a municipios e instituciones de la red notificadora departamental  para la adherencia a protocolos de vigilancia en salud pública de los eventos de interés.</t>
  </si>
  <si>
    <t>Capacitar al personal operario del SIVIGILA en los 12 municipios del departamento.</t>
  </si>
  <si>
    <t>Apoyar los procesos de ajuste y depuración de la información de interés en salud publica en los 12 municipios del departamento.</t>
  </si>
  <si>
    <t>Desarrollar la búsqueda activa institucional en los 12 municipios del departamento.</t>
  </si>
  <si>
    <t>Realizar seguimiento al proceso de gestión del riesgo individual, frente a las acciones de protección específica y detección temprana desde el reporte del anexo técnico de la resolución 4505 de 2012 y el cumplimiento de la resolución 412 del 2000.</t>
  </si>
  <si>
    <t>Universalidad  del aseguramiento en salud para un bien común</t>
  </si>
  <si>
    <t>Garantizar  la promoción de la afiliación al sistema de seguridad social</t>
  </si>
  <si>
    <t>Fortalecer en los 12 municipios del departamento  los procesos de identificación de la población no sisbenizada y no afiliada.</t>
  </si>
  <si>
    <t>0318 - 5 - 3 1 3 13 47 2 153 - 20</t>
  </si>
  <si>
    <t>201663000-0153</t>
  </si>
  <si>
    <t>Subsidio afiliación al régimen subsidiado del Sistema General de Seguridad Social en Salud en el Departamento del Quindío.</t>
  </si>
  <si>
    <t xml:space="preserve">Mejorar  la cobertura  universal en  aseguramiento  al sistema de atención integral y suficiencia de recursos para la población del Departamento del Quindío
</t>
  </si>
  <si>
    <t xml:space="preserve"> Mejorar los procesos de identificación de la población no sisbenizada y no afiliada.
</t>
  </si>
  <si>
    <t>Seguimiento a la identificacion de la poblacion atendida de las IPS publicas para la afiliacion del sistema general SGSS</t>
  </si>
  <si>
    <t>Recurso Oridnario</t>
  </si>
  <si>
    <t>Orientar e inducir a la poblacion no sisbenizada atendida por las IPS, en ferias de afiliaciones y busquedas activas para realizar la afiliacion al SGSS</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</si>
  <si>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</si>
  <si>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</si>
  <si>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1801 - 5 - 3 1 3 13 48 2 153 - 154</t>
  </si>
  <si>
    <t xml:space="preserve"> Gestionar  recursos para cofinanciación de la afialicon  mpo y lugares de afiliación
</t>
  </si>
  <si>
    <t>Gestión de recursos para cofinanciación de la afiliación a los municipios y lugares de afiliación</t>
  </si>
  <si>
    <t>Restas cedidas sin situacion de fondos</t>
  </si>
  <si>
    <t>Rendimientos Rentas cedidas</t>
  </si>
  <si>
    <t>Asistencia técnica  a los actores del sistema en el proceso de aseguramiento de la población</t>
  </si>
  <si>
    <t>Brindar asistencia técnica a 12 Municipios del departamento,  en los procesos del régimen subsidiado</t>
  </si>
  <si>
    <t>0318 - 5 - 3 1 3 13 49 2 153 - 20</t>
  </si>
  <si>
    <t xml:space="preserve"> Aumentar la asistencia técnica a 12 Municipios del departamento,  en los procesos del régimen subsidiado</t>
  </si>
  <si>
    <t>Realizar auditorias a los procesos de regimen subsidiado en los 12 municipios, de acuerdo a lo establecido en la Circular 006 de 2011.</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</si>
  <si>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</si>
  <si>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</si>
  <si>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</si>
  <si>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</si>
  <si>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1802 - 5 - 3 1 3 14 50 2 154 - 110
1802 - 5 - 3 1 3 14 50 2 154 - 58 
1802 - 5 - 3 1 3 14 50 2 154 - 59
1802 - 5 - 3 1 3 14 50 2 154 - 60</t>
  </si>
  <si>
    <t>201663000-0154</t>
  </si>
  <si>
    <t>Prestación de Servicios a la Población no Afiliada al Sistema General de Seguridad Social en Salud  y en los no POS  a la Población Afiliada al Régimen Subsidiado.</t>
  </si>
  <si>
    <t>Garantizar la atención en salud a la población pobre no asegurada y/o víctima del conflicto armado en un rango de afiliación 51.57 según Resolución 3778 de 2011. en  e l departamento del Quindío</t>
  </si>
  <si>
    <t>Mejorar  los procesos de vigilancia y control para el acceso de los afiliados a la red de servicios de salud.</t>
  </si>
  <si>
    <t>Apoyo a los procesos de inspección, vigilancia y control en el acceso de los afiliados  a la red de servicios de salud.</t>
  </si>
  <si>
    <t>Mantener la contratación con la red pública y privada (15)  para la atención de la población no afiliada.</t>
  </si>
  <si>
    <t xml:space="preserve">Fortalecer la contratación para la atención de la población no afiliada </t>
  </si>
  <si>
    <t xml:space="preserve">Fortalecer la contratacion para la atencion de la poblacion pobre no asegurada y los servicios no incluidos en el Plan de beneficios de la poblacion afiliada a la regimen subsidiado. </t>
  </si>
  <si>
    <t>Resolución  971/2016 Programas imputables</t>
  </si>
  <si>
    <t>Rentas cedidas - Salud</t>
  </si>
  <si>
    <t>SGP Salud Prestacion servicios CFS</t>
  </si>
  <si>
    <t>SGP Salud aportes patronales SS  F</t>
  </si>
  <si>
    <t>Realizar asistencia técnica en la construcción y ejecución del plan bienal de inversiones, a catorce (14) Empresas sociales del estado (ESE) del departamento.</t>
  </si>
  <si>
    <t>Fortalecier la construcción del Plan Bienal en las 14 Empresas sociales del estado (ESE)del departamento.</t>
  </si>
  <si>
    <t>Asistencia tecnica a las ESE del departamento en la formulacion, gestion y manejo de la plataforma para proyectos de infraestructura y dotacion.</t>
  </si>
  <si>
    <t>Realizar sesiones del  cosejo territoriales de salud para obtener aval de proyectos de infraestructura y dotacion hospitalaria.</t>
  </si>
  <si>
    <t>Fortalecimiento de la  gestión de la entidad territorial municipal</t>
  </si>
  <si>
    <t>Realizar asistencia Técnica  en los 12 municipios, en la capacidad de gestión en salud</t>
  </si>
  <si>
    <t>0318 - 5 - 3 1 3 14 51 2 155 - 20</t>
  </si>
  <si>
    <t>201663000-0155</t>
  </si>
  <si>
    <t xml:space="preserve">Asistencia técnica para el fortalecimiento de la gestión de las entidades territoriales del Departamento del Quindio </t>
  </si>
  <si>
    <t xml:space="preserve">Apoyar los proceso de articulacion y competencias territoriarles en el SGSS
</t>
  </si>
  <si>
    <t>Fortalecer los procesos de financiacion a los municpios para ejercer procesos de afiliacion y atencion al SGSS</t>
  </si>
  <si>
    <t xml:space="preserve">verificar el cumplimiento de oportunidad en el reporte de informacion financiera mediante la circular unica </t>
  </si>
  <si>
    <t>Capacitar en los procesos de gestion tecnica en salud.</t>
  </si>
  <si>
    <t>realizar procesos de verificación a los 12 municipios y sus respectivas E.S.E del departamento en los reportes de gestión financiera.</t>
  </si>
  <si>
    <t>realizar apoyo y seguimiento en la gestion financiera a los fondos locales de salud y al procesos de aportes patronales de las ESE del departamento.</t>
  </si>
  <si>
    <t>Garantizar red de servicios en eventos de emergencias</t>
  </si>
  <si>
    <t xml:space="preserve">Ajustar los 14 planes de emergencia de las instituciones prestadoras de salud de todo el Departamento.  </t>
  </si>
  <si>
    <t>0318 - 5 - 3 1 3 14 52 2 156 - 20</t>
  </si>
  <si>
    <t>201663000-0156</t>
  </si>
  <si>
    <t>Servicio de salud en alerta en el Departamento del Quindío</t>
  </si>
  <si>
    <t>Fortalecer mediante capacitaciones y planes de trabajo  la actualización y articulación de los planes hospitalarios con el plan de emergencia departamental de acuerdo a la ley 1523 de 2012.</t>
  </si>
  <si>
    <t xml:space="preserve"> Fortalecer el compromiso y conocimiento de la norma  para la preparacion en casos de emergencias parte de las ESES del Departametno y los entes desentralizados</t>
  </si>
  <si>
    <t>Apoyo en el proceso de simulacros de atencion a emergencias en la red publica</t>
  </si>
  <si>
    <t>Realizar procesos de atención en emergencias de la red publica.</t>
  </si>
  <si>
    <t>Fortalecer el sistema de alarma de emergencias y perifoneo de los hospitales públicos.</t>
  </si>
  <si>
    <t xml:space="preserve">Articular  la red hospitalaria del Departamento
</t>
  </si>
  <si>
    <t>Desarrollar el plan de emergencias de salud departamental</t>
  </si>
  <si>
    <t>Ajustar un (1) Plan de Emergencias en Salud Departamental.</t>
  </si>
  <si>
    <t xml:space="preserve">Realizar mantenimiento de los equipos de telecomunicación </t>
  </si>
  <si>
    <t>Atender en los 12 municipios  del departamento, los eventos de emergencia y urgencias, y el sistema de referencia y contra referencia  de la población  no afiliada.</t>
  </si>
  <si>
    <t>1802 - 5 - 3 1 3 14 52 2 157 - 20</t>
  </si>
  <si>
    <t>201663000-0157</t>
  </si>
  <si>
    <t xml:space="preserve">Fortalecimiento de la red de urgencias y emergencias en el Departamento del Quindio </t>
  </si>
  <si>
    <t>Fortalecimiento  en la integración de  la red hospitalaria  del departamento del  Quindío. Mediante la modernización del CRUE en el departamento del Quindío</t>
  </si>
  <si>
    <t xml:space="preserve">Centralizar por medio del centro de regulación de urgencias y emergencias las atenciones que se puedan suscitar en el departamento </t>
  </si>
  <si>
    <t>Regular y coordinar la prestación de servicios de urgencias y emergencias en salud en el departamento.</t>
  </si>
  <si>
    <t>Realizar asistencia técnica a los prestadores de servicios de salud.</t>
  </si>
  <si>
    <t>Mantenimiento y adquisición de equipos de tecnología, equipos de computo  y telecomunicaciones y mobiliario para el funcionamiento del CRUE.</t>
  </si>
  <si>
    <t>Garantizar continuidad del funcionamiento del CRUE - SEM</t>
  </si>
  <si>
    <t xml:space="preserve">Capacitar a la comunidad y primer respondiente acorde con los riesgos identificados en el territorio durante el mes.   </t>
  </si>
  <si>
    <t>Estandarizar e implementar  los formatos de reporte entre los actores involucrados</t>
  </si>
  <si>
    <t>Reporte de información en tiempo real sobre la capacidad resolutiva del servicio en salud.</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</si>
  <si>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</si>
  <si>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</si>
  <si>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0318 - 5 - 3 1 3 14 53 2 158 - 20</t>
  </si>
  <si>
    <t>201663000-0158</t>
  </si>
  <si>
    <t>158 Apoyo al proceso del sistema obligatorio de garantía de calidad a los prestadores de salud en el Departamento del Quindio.</t>
  </si>
  <si>
    <t xml:space="preserve">Asegurar la implementacion y seguimiento del  PAMEC y cumplimiento de la totalidad de los estandeares de Habilitacion de acuerdo al nivel de complejidad.
</t>
  </si>
  <si>
    <t>Fortalecer los procesos de implementacion, auditoria y seguimiento.</t>
  </si>
  <si>
    <t>Evaluación del PAMEC en su condición de compradores de servicios de salud para población pobre no afiliada, mediante  auditoría externa a los prestadores.</t>
  </si>
  <si>
    <t xml:space="preserve">Realizar inspección y vigilancia al cumplimiento de los contenidos del PAMEC de los municipios certificados de su jurisdicción.                                                                                </t>
  </si>
  <si>
    <t xml:space="preserve">Enviar anualmente a la superintendencia nacional de salud, un informe de seguimiento a la evaluación de los PAMEC de los municipios de competencia departamental. </t>
  </si>
  <si>
    <t xml:space="preserve">Asegurar la totalidad de los estandares establecidos en el sistema de habilitacion 
</t>
  </si>
  <si>
    <t xml:space="preserve">Realizar un plan de asistencia técnica para el seguimiento y monitoreo del PAMEC en la IPS y EAPBS públicas del Departamento. </t>
  </si>
  <si>
    <t xml:space="preserve">Garantizar eficiencia en el establecimiento de los indicadores de seguimiento a riesgo 
</t>
  </si>
  <si>
    <t>Seguimiento y evaluación al cumplimiento de los planes de mejoramiento y estandarización de procesos  de habilitación de las EAPB.</t>
  </si>
  <si>
    <t>Evaluar la calidad del dato y el análisis  de los indicadores de calidad remitidos al Ministerio de Salud y de la circular externa 012 de 2016 (Superintendencia Nacional de Salud), en todas las  ESES, EPS e IPS del departamento.</t>
  </si>
  <si>
    <t>Realizar capacitación del recurso humano de las ESES, IPS y EPS Tema del PAMEC, indicadores de calidad y circular 012 de 2016</t>
  </si>
  <si>
    <t>Realizar visitas de verificación de los requisitos de habilitación a 150 prestadores de servicios de salud.</t>
  </si>
  <si>
    <t>Verificación de los requisitos de habilitación</t>
  </si>
  <si>
    <t>Fortalecimiento financiero de la red de servicios publica</t>
  </si>
  <si>
    <t>Evaluar semestralmente los indicadores de monitoreo del sistema de catorce (14) ESE´s del nivel I, II y III</t>
  </si>
  <si>
    <t>0318 - 5 - 3 1 3 14 54 2 159 - 20</t>
  </si>
  <si>
    <t>201663000-0159</t>
  </si>
  <si>
    <t>Fortalecimiento de la red de prestación de servicios pública  del Departamento del Quindío</t>
  </si>
  <si>
    <t xml:space="preserve">Apoyar el  seguimiento al proceso de reporte, vigilancia y control en el manejo de los recursos de salud en el Departamento del Quindio
</t>
  </si>
  <si>
    <t>Fortalecer los procesos financieros  del sector salud en el departamento del Quindío</t>
  </si>
  <si>
    <t>Seguimiento y apoyo al proceso financiero de las IPS publicas</t>
  </si>
  <si>
    <t>realizar gestion de cartera deacuerdo con lo estipulado en la circular conjunta 030 del 2013</t>
  </si>
  <si>
    <t xml:space="preserve">Dar apoyo a las ESE del departamento para garantizar la continuidad en la prestacion de servicios de slaud </t>
  </si>
  <si>
    <t>Apoyar 2 programas  de saneamiento fiscal y financiero a las IPS categorizadas en riesgo por el Ministerio de Salud</t>
  </si>
  <si>
    <t xml:space="preserve">Realizar los  procesos adecuados para la auditoria en el flujo de recursos de las IPS 
</t>
  </si>
  <si>
    <t>Seguimiento a los programas de saneamiento fiscal y financiero.</t>
  </si>
  <si>
    <t>Gestión Posible</t>
  </si>
  <si>
    <t>Apoyo y Fortalecimiento Institucional</t>
  </si>
  <si>
    <t>Evaluar los municipios de Armenia y Calarcá que se encuentran  certificados en salud</t>
  </si>
  <si>
    <t>1804 - 5 - 3 1 3 15 55 2 160 - 72
0318 - 5 - 3 1 3 15 55 2 160 - 20</t>
  </si>
  <si>
    <t>201663000-0160</t>
  </si>
  <si>
    <t>Apoyo Operativo a la inversión social en salud en el Departamento del Quindio</t>
  </si>
  <si>
    <t xml:space="preserve">Incrementar el porcentaje de apoyo de la dirección estratégica en los procesos administrativos y misionales de la secretaria de salud
</t>
  </si>
  <si>
    <t>Evaluar los municipios certificados en salud</t>
  </si>
  <si>
    <t xml:space="preserve">realizar visitas para evaluacion de la capacidad de gestion y renovacion de la certificacion como municipios desentralizados en salud  </t>
  </si>
  <si>
    <t>apoyar y gestionar  3 procesos administrativos y misionales por parte de la Dirección estratégica.</t>
  </si>
  <si>
    <t>Fortaleza en la planificacion, seguimiento y evaluacion de objetivos de S.D.S</t>
  </si>
  <si>
    <t>Realizar actividades de planeacion para la S.D.S aplicando los lineamientos normativos vigentes</t>
  </si>
  <si>
    <t>Rentas cedidas subcuenta otros gastos en salud</t>
  </si>
  <si>
    <t>Realizar seguimiento a los diferentes instrumentos de planificacion de la S.D.S</t>
  </si>
  <si>
    <t>Definir mecanismos para la gestion de la informacion en la S.D.S</t>
  </si>
  <si>
    <t xml:space="preserve">Garantizar eficiencia en el establecimiento de los indicadores de seguimiento a riesgo </t>
  </si>
  <si>
    <t>Establecer mecanismos eficientes de respuesta al usuario</t>
  </si>
  <si>
    <t>Evaluar la oportunidad de las respuestas a los organismos de control</t>
  </si>
  <si>
    <t>Verificación, seguimiento y control trimestral a la ejecución presupuestal de los recursos del Sector Salud</t>
  </si>
  <si>
    <t>control trimestral a la ejecución presupuestal de los recursos del Sector Salud</t>
  </si>
  <si>
    <t>Verificación a la ejecución presupuestal de los recursos del Sector Salud</t>
  </si>
  <si>
    <t>PROGRAMACION PLAN DE ACCIÓN
SECRETARIA DE TURISMO, INDUSTRIA Y COMERCIO
I TRIMESTRE 2019</t>
  </si>
  <si>
    <t>Edad Económicamente Activa      (20-59 años)</t>
  </si>
  <si>
    <t>Quindío Prospero y productivo</t>
  </si>
  <si>
    <t xml:space="preserve">Crear (1) y fortalecer (3) rutas competitivas </t>
  </si>
  <si>
    <t>Ruta competitiva creada y rutas fortalecidas</t>
  </si>
  <si>
    <t>0311 - 5 - 3 1 2 2 8 13 51 - 20
0311 - 5 - 3 1 2 2 8 13 51 - 88</t>
  </si>
  <si>
    <t>201663000-0051</t>
  </si>
  <si>
    <t>Apoyo al mejoramiento de la competitividad a iniciativas  productivas en el  Departamento del Quindío</t>
  </si>
  <si>
    <t>Mejoramiento de  los  niveles de competitividad e innovación en  las empresas , a través de fortalecimiento de los cluster y  rutas competitivas  en el Departamento del Quindio.</t>
  </si>
  <si>
    <t>Incremento de las empresas competitivas en el departamento.</t>
  </si>
  <si>
    <t>Fortalecimiento de la competitividad del Departamento del Quindio y los sectores econòmicos priorizados.</t>
  </si>
  <si>
    <t>Secretario de Turismo Industria y Comercio</t>
  </si>
  <si>
    <t xml:space="preserve">Superavit Recurso Ordinario </t>
  </si>
  <si>
    <t>Fortalecimiento de las rutas Kaldia, Tumbaga y Artemis.</t>
  </si>
  <si>
    <t>Conformar e implementar (3) tres clúster priorizados en el Plan de Competitividad</t>
  </si>
  <si>
    <t>Clúster conformados e implementados</t>
  </si>
  <si>
    <t>Brindar apoyo y seguimiento a los planes de acciòn de los clùsters, y fortalecer sus estrategias de crecimiento y promociòn comercial para la apertura de nuevos mercados</t>
  </si>
  <si>
    <t xml:space="preserve">Diseño, formulación y puesta en marcha del Centro  para el desarrollo y el  fortalecimiento de la investigación, tecnología,  Ciencia e Innovación .   </t>
  </si>
  <si>
    <t>Centro  para el desarrollo y el  fortalecimiento de la investigación, tecnología,  ciencia e innovación diseñado, formulado e implementado</t>
  </si>
  <si>
    <t>201663000-0052</t>
  </si>
  <si>
    <t>Fortalecimiento de  la   competitividad  a través de la  gestión de la innovación  y la tecnocología en el Departamento del Quindio</t>
  </si>
  <si>
    <t xml:space="preserve">Mejoramiento de las capacidades de la región para la gestión estratégica de la innovación en el departamento del Quindío. </t>
  </si>
  <si>
    <t>Suficiente infraestructura y equipamiento para el Centro de gestión de la innovación y la tecnología</t>
  </si>
  <si>
    <t>Fortalecer un Centro de Investigaciòn, Tecnologìa, Ciencia e innovaciòn a travès del apoyo en la investigaciòn aplicada al PCC.</t>
  </si>
  <si>
    <t>0311 - 5 - 3 1 2 2 8 13 52 - 20</t>
  </si>
  <si>
    <t xml:space="preserve">Apoyar la formulación del proyecto: Red de conocimiento de agro negocios del departamento </t>
  </si>
  <si>
    <t>Proyecto Red de conocimiento agroindustrial apoyado</t>
  </si>
  <si>
    <t>Gestión tecnológica y de capital humano pertinente, para incrementar la competitividad de sectores estratégicos</t>
  </si>
  <si>
    <t xml:space="preserve">Fortalecimiento al Plan de Acciòn la Red de conocimiento de Agronegocios </t>
  </si>
  <si>
    <t>0311 - 5 - 3 1 2 2 8 13 52 - 88</t>
  </si>
  <si>
    <t xml:space="preserve">Diseñar y fortalecer un proyecto de I+D+I </t>
  </si>
  <si>
    <t>Proyecto de I+D+I diseñado y fortalecido</t>
  </si>
  <si>
    <t>Apoyo y acompañamiento tècnico a los procesos para la aprobaciòn de un proyecto en materia de I+D+I</t>
  </si>
  <si>
    <t>Hacia el Emprendimiento, Empresarismo, asociatividad y generación de empleo en el Departamento del Quindío</t>
  </si>
  <si>
    <t xml:space="preserve">Diseñar un ecosistema Regional de Emprendimiento y Asociatividad  </t>
  </si>
  <si>
    <t>Ecosistema regional de emprendimiento y asociatividad diseñado</t>
  </si>
  <si>
    <t>201663000-0053</t>
  </si>
  <si>
    <t>Apoyo al emprendimiento, empresarismo, asociatividad y generación de empleo en el departamento del Quindio</t>
  </si>
  <si>
    <t>Mejoramiento de los niveles de emprendimiento, empresarismo y asociatividad en el departamento del quindio</t>
  </si>
  <si>
    <t>Eficiente interacción y articulación del sector empresarial y demás actores para el fomento del emprendimiento, empresarismo y
asociatividad en el Departamento del Quindio</t>
  </si>
  <si>
    <t xml:space="preserve">Puesta en marcha y seguimiento a la operatividad de un ecosistema Regional de Emprendimiento y Asociatividad.   </t>
  </si>
  <si>
    <t>Participación en una convocatoria para proyectos de emprenderismo en conjunto con la Red Regional de Emprendimiento.</t>
  </si>
  <si>
    <t>Apoyar a doce (12) unidades de emprendimiento para jóvenes emprendedores.</t>
  </si>
  <si>
    <t>Unidades de emprendimiento apoyadas</t>
  </si>
  <si>
    <t>Eficiente estimulo con recursos financieros para el emprendimiento, empresarismo y asociatividad en el departamento del quindío</t>
  </si>
  <si>
    <t>Apoyar tres unidades de emprendimiento de jovenes emprendedores.</t>
  </si>
  <si>
    <t xml:space="preserve">0311 - 5 - 3 1 2 2 9 13 53 - 20
</t>
  </si>
  <si>
    <t>0311 - 5 - 3 1 2 2 9 13 53 - 88</t>
  </si>
  <si>
    <t>Apoyar   doce (12) Unidades de emprendimiento de grupos poblacionales con enfoque diferencial.</t>
  </si>
  <si>
    <t>Apoyar tres unidades de emprendimiento de poblaciòn con enfoque diferencial</t>
  </si>
  <si>
    <t>Implementar un programa de gesiton financiera para el desarrollo de emprendimiento, empresarismo y asociatividad</t>
  </si>
  <si>
    <t>Programa de gestión finaciera implementado</t>
  </si>
  <si>
    <t>Puesta en marcha y seguimiento a la operatividad del Programa de Gestión Financiera para el Desarrollo de Emprendimiento, Empresarismo y Asociatividad.</t>
  </si>
  <si>
    <t>Quindío Sin Fronteras</t>
  </si>
  <si>
    <t>Fortalecer  doce (12) empresas en procesos internos y externos para la apertura a mercados regionales, nacionales e internacionales</t>
  </si>
  <si>
    <t>Empresas fortalecidas</t>
  </si>
  <si>
    <t>201663000-0056</t>
  </si>
  <si>
    <t xml:space="preserve">Fortalecimiento del sector empresarial  hacia mercados globales en el Departamento del Quindio .   </t>
  </si>
  <si>
    <t xml:space="preserve">Mejoramiento del potencial exportador de empresas con capacidad para su conexión a mercados gobales </t>
  </si>
  <si>
    <t>Mejoramiento en la generación de competencias y habilidades en las empresas del departamento del Quindío.</t>
  </si>
  <si>
    <t>Fortalecimiento de empresas en sus procesos de apertura de mercados</t>
  </si>
  <si>
    <t>Constituir e implementar una agencia de inversión empresarial</t>
  </si>
  <si>
    <t>Agencia de inversión constituida e implementada</t>
  </si>
  <si>
    <t>0311 - 5 - 3 1 2 2 10 13 56 - 20</t>
  </si>
  <si>
    <t>Fortalecimiento de mecanismos de inversión y de herramientas tecnológicas de servicios logisticos en el sector empresarial para su
conexión a mercados global</t>
  </si>
  <si>
    <t>Fortalecimiento de la Agencia de Inversión Empresarial y seguimiento  a su Plan de Acción.</t>
  </si>
  <si>
    <t>0311 - 5 - 3 1 2 2 10 13 56 - 88</t>
  </si>
  <si>
    <t>Diseñar la  plataforma de servicios logísticos nacionales e internacionales tendiente a lograr del departamento un centro de articulación de occidente</t>
  </si>
  <si>
    <t>Plataforma de servicios logísticos diseñada</t>
  </si>
  <si>
    <t>Operaciòn y seguimiento de la plataforma de servicios logisticos nacionales e internacionales</t>
  </si>
  <si>
    <t>QUINDIO POTENCIA TURISTICA DE NATURALEZA Y DIVERSION</t>
  </si>
  <si>
    <t xml:space="preserve">Fortalecimiento de la oferta de productos y atractivos turísticos </t>
  </si>
  <si>
    <t>Diseñar, crear y/o fortalecer 15 Productos turísticos para ser ofertados</t>
  </si>
  <si>
    <t>Productos turísticos diseñados, creados y/o fortalecidos</t>
  </si>
  <si>
    <t>0311 - 5 - 3 1 2 3 11 13 59 - 20</t>
  </si>
  <si>
    <t>201663000-0059</t>
  </si>
  <si>
    <t>Fortalecimiento de la oferta de prestadores de servicos, productos y atractivos turísticos en el Departamento del Quindío.</t>
  </si>
  <si>
    <t xml:space="preserve">Mejoramiento del posicionamiento del departamento del Quindío como destino turistico en Colombia. </t>
  </si>
  <si>
    <t>Fortalecimiento de los factores que hacen competitivo el turismo.</t>
  </si>
  <si>
    <t>Diseñar, crear y/o fortalecer 5 Productos turísticos para ser ofertados</t>
  </si>
  <si>
    <t>Elaborar e implementar  un Plan de Calidad Turística del Destino</t>
  </si>
  <si>
    <t>Plan de Calidad elaborado e implementado</t>
  </si>
  <si>
    <t>Ejecución del Plan de Calidad Turistica</t>
  </si>
  <si>
    <t>Mejoramiento de la competitividad del Quindío como destino turístico</t>
  </si>
  <si>
    <t>Gestionar y ejecutar (3) proyectos para mejorar la competitividad del Quindío como destino turístico</t>
  </si>
  <si>
    <t>Proyectos gestionados y ejecutados</t>
  </si>
  <si>
    <t>201663000-0060</t>
  </si>
  <si>
    <t>Apoyo a la competitividad  como destino turístico en el Departamento del Quindío.</t>
  </si>
  <si>
    <t xml:space="preserve">Mejorar el nivel de competitividad de las empresas prestadoras de servicios turisticos en el departamento del Quindio </t>
  </si>
  <si>
    <t>Mejoramiento del nivel de gestion de recursos para proyectos y acciones que mejoren la competitividad del destino turistico</t>
  </si>
  <si>
    <t>Apoyo a la conformación de los cluster de Turismo de Naturaleza, MICE y Salud</t>
  </si>
  <si>
    <t>Apoyo al mejoramiento de la infraestructura turística.</t>
  </si>
  <si>
    <t>0311 - 5 - 3 1 2 3 12 13 60 - 20</t>
  </si>
  <si>
    <t>Ejecución del Plan Decenal de Turismo.</t>
  </si>
  <si>
    <t>Fortalecimiento al programa Club de Producto y actualización de actores.</t>
  </si>
  <si>
    <t>Apoyo para la capacitación a prestadores de servicios turísticos.</t>
  </si>
  <si>
    <t>Ejecución del  programa de turismo responsable.</t>
  </si>
  <si>
    <t>Promoción nacional e internacional del departamento como destino turístico</t>
  </si>
  <si>
    <t>Construcción del Plan de Mercadeo Turístico</t>
  </si>
  <si>
    <t>Plan de Mercadeo construido</t>
  </si>
  <si>
    <t>0311 - 5 - 3 1 2 3 13 13 62 - 20
0311 - 5 - 3 1 2 3 13 13 62 - 52
0311 - 5 - 3 1 2 3 13 13 62 - 88
0311 - 5 - 3 1 2 3 13 13 62 - 94</t>
  </si>
  <si>
    <t>201663000-0062</t>
  </si>
  <si>
    <t>Apoyo a la promoción nacional e internacional como destino  turístico del Departamento del Quindío.</t>
  </si>
  <si>
    <t>Mejoramiento del nivel de impacto de las acciones de "Promocion del destino turistico del departamento del Quindio"</t>
  </si>
  <si>
    <t>Eficiente identificacion de los mercados prioritarios para productos turisticos</t>
  </si>
  <si>
    <t>Ejecución del Plan de Mercadeo para la  Promoción del departamento como destino turística nivel nacional.</t>
  </si>
  <si>
    <t>Impuesto al Registro</t>
  </si>
  <si>
    <t>IR/TURISMO</t>
  </si>
  <si>
    <t>Ejecución del Plan de Mercadeo para la  Promoción del departamento como destino turística nivel internacional.</t>
  </si>
  <si>
    <t xml:space="preserve">NATALIA ANDREA RODRIGUEZ LONDOÑO </t>
  </si>
  <si>
    <t>SECRETARIA DE TURISMO,INDUSTRIA Y COMERCIO</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</si>
</sst>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dd/mm/yy;@"/>
    <numFmt numFmtId="165" formatCode="&quot;$&quot;\ #,##0"/>
    <numFmt numFmtId="166" formatCode="dd/mm/yyyy;@"/>
    <numFmt numFmtId="167" formatCode="_(* #,##0_);_(* \(#,##0\);_(* &quot;-&quot;??_);_(@_)"/>
    <numFmt numFmtId="168" formatCode="00"/>
    <numFmt numFmtId="169" formatCode="0.0"/>
    <numFmt numFmtId="170" formatCode="0_ ;\-0\ "/>
    <numFmt numFmtId="171" formatCode="&quot;$&quot;#,##0.00"/>
    <numFmt numFmtId="172" formatCode="_-* #,##0_-;\-* #,##0_-;_-* &quot;-&quot;_-;_-@_-"/>
    <numFmt numFmtId="173" formatCode="_-* #,##0.00\ _€_-;\-* #,##0.00\ _€_-;_-* &quot;-&quot;??\ _€_-;_-@_-"/>
    <numFmt numFmtId="174" formatCode="0.0%"/>
    <numFmt numFmtId="175" formatCode="#,##0.00;[Red]#,##0.00"/>
    <numFmt numFmtId="176" formatCode="#,##0;[Red]#,##0"/>
    <numFmt numFmtId="177" formatCode="_-* #,##0.00\ &quot;€&quot;_-;\-* #,##0.00\ &quot;€&quot;_-;_-* &quot;-&quot;??\ &quot;€&quot;_-;_-@_-"/>
    <numFmt numFmtId="178" formatCode="_-&quot;$&quot;\ * #,##0.00_-;\-&quot;$&quot;\ * #,##0.00_-;_-&quot;$&quot;\ * &quot;-&quot;??_-;_-@_-"/>
    <numFmt numFmtId="179" formatCode="_(&quot;$&quot;\ * #,##0_);_(&quot;$&quot;\ * \(#,##0\);_(&quot;$&quot;\ * &quot;-&quot;??_);_(@_)"/>
    <numFmt numFmtId="180" formatCode="&quot;$&quot;#,##0"/>
    <numFmt numFmtId="181" formatCode="_-&quot;$&quot;* #,##0_-;\-&quot;$&quot;* #,##0_-;_-&quot;$&quot;* &quot;-&quot;_-;_-@_-"/>
    <numFmt numFmtId="182" formatCode="d/mm/yyyy;@"/>
    <numFmt numFmtId="183" formatCode="_ [$€-2]\ * #,##0.00_ ;_ [$€-2]\ * \-#,##0.00_ ;_ [$€-2]\ * &quot;-&quot;??_ "/>
    <numFmt numFmtId="184" formatCode="#,##0.000"/>
    <numFmt numFmtId="185" formatCode="#,##0.0"/>
    <numFmt numFmtId="186" formatCode="_(* #,##0.00_);_(* \(#,##0.00\);_(* &quot;-&quot;_);_(@_)"/>
    <numFmt numFmtId="187" formatCode="_-[$$-240A]* #,##0.00_-;\-[$$-240A]* #,##0.00_-;_-[$$-240A]* &quot;-&quot;??_-;_-@_-"/>
    <numFmt numFmtId="188" formatCode="#,##0.00_);\-#,##0.00"/>
  </numFmts>
  <fonts count="56" x14ac:knownFonts="1">
    <font>
      <sz val="11"/>
      <color theme="1"/>
      <name val="Calibri"/>
      <family val="2"/>
      <scheme val="minor"/>
    </font>
    <font>
      <sz val="11"/>
      <color theme="1"/>
      <name val="Calibri"/>
      <family val="2"/>
      <scheme val="minor"/>
    </font>
    <font>
      <b/>
      <sz val="14"/>
      <color indexed="8"/>
      <name val="Arial"/>
      <family val="2"/>
    </font>
    <font>
      <b/>
      <sz val="10"/>
      <color indexed="8"/>
      <name val="Arial"/>
      <family val="2"/>
    </font>
    <font>
      <sz val="12"/>
      <color indexed="8"/>
      <name val="Arial"/>
      <family val="2"/>
    </font>
    <font>
      <b/>
      <sz val="12"/>
      <color indexed="8"/>
      <name val="Arial"/>
      <family val="2"/>
    </font>
    <font>
      <sz val="11"/>
      <color indexed="8"/>
      <name val="Calibri"/>
      <family val="2"/>
    </font>
    <font>
      <b/>
      <sz val="12"/>
      <name val="Arial"/>
      <family val="2"/>
    </font>
    <font>
      <sz val="12"/>
      <name val="Arial"/>
      <family val="2"/>
    </font>
    <font>
      <sz val="10"/>
      <color theme="1"/>
      <name val="Arial"/>
      <family val="2"/>
    </font>
    <font>
      <sz val="12"/>
      <color rgb="FFFF0000"/>
      <name val="Arial"/>
      <family val="2"/>
    </font>
    <font>
      <b/>
      <sz val="14"/>
      <color theme="1"/>
      <name val="Arial"/>
      <family val="2"/>
    </font>
    <font>
      <b/>
      <sz val="11"/>
      <color theme="1"/>
      <name val="Arial"/>
      <family val="2"/>
    </font>
    <font>
      <sz val="11"/>
      <color theme="1"/>
      <name val="Arial"/>
      <family val="2"/>
    </font>
    <font>
      <b/>
      <sz val="11"/>
      <color indexed="8"/>
      <name val="Arial"/>
      <family val="2"/>
    </font>
    <font>
      <b/>
      <sz val="9"/>
      <name val="Calibri"/>
      <family val="2"/>
      <scheme val="minor"/>
    </font>
    <font>
      <sz val="11"/>
      <name val="Arial"/>
      <family val="2"/>
    </font>
    <font>
      <sz val="11"/>
      <color rgb="FF000000"/>
      <name val="Calibri"/>
      <family val="2"/>
      <scheme val="minor"/>
    </font>
    <font>
      <sz val="11"/>
      <color rgb="FF000000"/>
      <name val="Arial"/>
      <family val="2"/>
    </font>
    <font>
      <sz val="12"/>
      <color rgb="FF000000"/>
      <name val="Calibri"/>
      <family val="2"/>
      <scheme val="minor"/>
    </font>
    <font>
      <sz val="12"/>
      <color theme="1"/>
      <name val="Arial"/>
      <family val="2"/>
    </font>
    <font>
      <sz val="8"/>
      <color theme="1"/>
      <name val="Calibri"/>
      <family val="2"/>
      <scheme val="minor"/>
    </font>
    <font>
      <b/>
      <sz val="14"/>
      <name val="Arial"/>
      <family val="2"/>
    </font>
    <font>
      <b/>
      <sz val="10"/>
      <name val="Arial"/>
      <family val="2"/>
    </font>
    <font>
      <sz val="9"/>
      <name val="Arial"/>
      <family val="2"/>
    </font>
    <font>
      <b/>
      <sz val="9"/>
      <name val="Arial"/>
      <family val="2"/>
    </font>
    <font>
      <b/>
      <sz val="11"/>
      <name val="Arial"/>
      <family val="2"/>
    </font>
    <font>
      <b/>
      <sz val="12"/>
      <name val="Calibri"/>
      <family val="2"/>
      <scheme val="minor"/>
    </font>
    <font>
      <sz val="12"/>
      <name val="Calibri"/>
      <family val="2"/>
      <scheme val="minor"/>
    </font>
    <font>
      <sz val="14"/>
      <name val="Arial"/>
      <family val="2"/>
    </font>
    <font>
      <b/>
      <sz val="12"/>
      <color theme="1"/>
      <name val="Arial"/>
      <family val="2"/>
    </font>
    <font>
      <sz val="12"/>
      <color theme="1"/>
      <name val="Calibri"/>
      <family val="2"/>
      <scheme val="minor"/>
    </font>
    <font>
      <b/>
      <sz val="12"/>
      <color rgb="FFFF0000"/>
      <name val="Arial"/>
      <family val="2"/>
    </font>
    <font>
      <sz val="12"/>
      <color rgb="FF000000"/>
      <name val="Arial"/>
      <family val="2"/>
    </font>
    <font>
      <sz val="10"/>
      <name val="Arial"/>
      <family val="2"/>
    </font>
    <font>
      <sz val="11"/>
      <color indexed="8"/>
      <name val="Arial"/>
      <family val="2"/>
    </font>
    <font>
      <b/>
      <sz val="10"/>
      <color theme="1"/>
      <name val="Arial"/>
      <family val="2"/>
    </font>
    <font>
      <sz val="10"/>
      <color theme="1"/>
      <name val="Calibri"/>
      <family val="2"/>
      <scheme val="minor"/>
    </font>
    <font>
      <b/>
      <sz val="9"/>
      <color theme="1"/>
      <name val="Calibri"/>
      <family val="2"/>
      <scheme val="minor"/>
    </font>
    <font>
      <sz val="9"/>
      <color theme="1"/>
      <name val="Calibri"/>
      <family val="2"/>
      <scheme val="minor"/>
    </font>
    <font>
      <sz val="9"/>
      <color theme="1"/>
      <name val="Arial"/>
      <family val="2"/>
    </font>
    <font>
      <sz val="16"/>
      <color theme="1"/>
      <name val="Arial"/>
      <family val="2"/>
    </font>
    <font>
      <sz val="14"/>
      <color theme="1"/>
      <name val="Arial"/>
      <family val="2"/>
    </font>
    <font>
      <b/>
      <sz val="11"/>
      <name val="Calibri"/>
      <family val="2"/>
    </font>
    <font>
      <sz val="10"/>
      <color indexed="8"/>
      <name val="Arial"/>
      <family val="2"/>
    </font>
    <font>
      <sz val="11"/>
      <color indexed="9"/>
      <name val="Arial"/>
      <family val="2"/>
    </font>
    <font>
      <sz val="11"/>
      <color rgb="FFFF0000"/>
      <name val="Arial"/>
      <family val="2"/>
    </font>
    <font>
      <sz val="10"/>
      <color rgb="FF000000"/>
      <name val="Arial"/>
      <family val="2"/>
    </font>
    <font>
      <sz val="11"/>
      <name val="Calibri"/>
      <family val="2"/>
      <scheme val="minor"/>
    </font>
    <font>
      <sz val="9"/>
      <color theme="1"/>
      <name val="Arial Narrow"/>
      <family val="2"/>
    </font>
    <font>
      <sz val="11"/>
      <color theme="1"/>
      <name val="Arial Narrow"/>
      <family val="2"/>
    </font>
    <font>
      <b/>
      <sz val="20"/>
      <color theme="1"/>
      <name val="Arial Narrow"/>
      <family val="2"/>
    </font>
    <font>
      <sz val="20"/>
      <color theme="1"/>
      <name val="Arial Narrow"/>
      <family val="2"/>
    </font>
    <font>
      <i/>
      <sz val="14"/>
      <color theme="1"/>
      <name val="Arial Narrow"/>
      <family val="2"/>
    </font>
    <font>
      <sz val="14"/>
      <color theme="1"/>
      <name val="Arial Narrow"/>
      <family val="2"/>
    </font>
    <font>
      <b/>
      <sz val="12"/>
      <color theme="1"/>
      <name val="Calibri"/>
      <family val="2"/>
      <scheme val="minor"/>
    </font>
  </fonts>
  <fills count="29">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7"/>
        <bgColor indexed="64"/>
      </patternFill>
    </fill>
    <fill>
      <patternFill patternType="solid">
        <fgColor theme="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FFFF"/>
        <bgColor indexed="64"/>
      </patternFill>
    </fill>
    <fill>
      <patternFill patternType="solid">
        <fgColor rgb="FFDBDBDB"/>
        <bgColor indexed="64"/>
      </patternFill>
    </fill>
    <fill>
      <patternFill patternType="solid">
        <fgColor rgb="FFB4C6E7"/>
        <bgColor indexed="64"/>
      </patternFill>
    </fill>
    <fill>
      <patternFill patternType="solid">
        <fgColor rgb="FFFFD966"/>
        <bgColor indexed="64"/>
      </patternFill>
    </fill>
    <fill>
      <patternFill patternType="solid">
        <fgColor rgb="FFACB9CA"/>
        <bgColor indexed="64"/>
      </patternFill>
    </fill>
    <fill>
      <patternFill patternType="solid">
        <fgColor rgb="FFA9D08E"/>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FFFFFF"/>
        <bgColor rgb="FF000000"/>
      </patternFill>
    </fill>
  </fills>
  <borders count="7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auto="1"/>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auto="1"/>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indexed="64"/>
      </right>
      <top style="thin">
        <color rgb="FF000000"/>
      </top>
      <bottom/>
      <diagonal/>
    </border>
    <border>
      <left/>
      <right style="thin">
        <color rgb="FF000000"/>
      </right>
      <top style="thin">
        <color rgb="FF000000"/>
      </top>
      <bottom style="thin">
        <color rgb="FF000000"/>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right style="thin">
        <color indexed="64"/>
      </right>
      <top/>
      <bottom style="medium">
        <color indexed="64"/>
      </bottom>
      <diagonal/>
    </border>
    <border>
      <left style="thin">
        <color rgb="FF000000"/>
      </left>
      <right/>
      <top style="thin">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indexed="64"/>
      </left>
      <right style="thin">
        <color rgb="FF000000"/>
      </right>
      <top style="thin">
        <color indexed="64"/>
      </top>
      <bottom style="thin">
        <color indexed="64"/>
      </bottom>
      <diagonal/>
    </border>
    <border>
      <left style="thin">
        <color indexed="64"/>
      </left>
      <right/>
      <top/>
      <bottom style="thin">
        <color rgb="FF000000"/>
      </bottom>
      <diagonal/>
    </border>
    <border>
      <left style="thin">
        <color auto="1"/>
      </left>
      <right style="thin">
        <color rgb="FF000000"/>
      </right>
      <top style="thin">
        <color auto="1"/>
      </top>
      <bottom/>
      <diagonal/>
    </border>
    <border>
      <left/>
      <right style="thin">
        <color rgb="FF000000"/>
      </right>
      <top style="thin">
        <color rgb="FF000000"/>
      </top>
      <bottom/>
      <diagonal/>
    </border>
    <border>
      <left style="thin">
        <color auto="1"/>
      </left>
      <right/>
      <top style="thin">
        <color rgb="FF000000"/>
      </top>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indexed="64"/>
      </bottom>
      <diagonal/>
    </border>
    <border>
      <left style="thin">
        <color indexed="64"/>
      </left>
      <right/>
      <top/>
      <bottom style="medium">
        <color indexed="64"/>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medium">
        <color indexed="64"/>
      </left>
      <right style="medium">
        <color indexed="64"/>
      </right>
      <top/>
      <bottom style="medium">
        <color indexed="64"/>
      </bottom>
      <diagonal/>
    </border>
  </borders>
  <cellStyleXfs count="28">
    <xf numFmtId="0" fontId="0" fillId="0" borderId="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9" fontId="1" fillId="0" borderId="0" applyFont="0" applyFill="0" applyBorder="0" applyAlignment="0" applyProtection="0"/>
    <xf numFmtId="173"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177" fontId="6" fillId="0" borderId="0" applyFont="0" applyFill="0" applyBorder="0" applyAlignment="0" applyProtection="0"/>
    <xf numFmtId="43" fontId="1" fillId="0" borderId="0" applyFont="0" applyFill="0" applyBorder="0" applyAlignment="0" applyProtection="0"/>
    <xf numFmtId="0" fontId="34" fillId="0" borderId="0"/>
    <xf numFmtId="43" fontId="6" fillId="0" borderId="0" applyFont="0" applyFill="0" applyBorder="0" applyAlignment="0" applyProtection="0"/>
    <xf numFmtId="0" fontId="1" fillId="0" borderId="0"/>
    <xf numFmtId="178" fontId="1" fillId="0" borderId="0" applyFont="0" applyFill="0" applyBorder="0" applyAlignment="0" applyProtection="0"/>
    <xf numFmtId="43" fontId="1" fillId="0" borderId="0" applyFont="0" applyFill="0" applyBorder="0" applyAlignment="0" applyProtection="0"/>
    <xf numFmtId="181" fontId="1" fillId="0" borderId="0" applyFont="0" applyFill="0" applyBorder="0" applyAlignment="0" applyProtection="0"/>
    <xf numFmtId="183" fontId="1" fillId="0" borderId="0"/>
    <xf numFmtId="0" fontId="34" fillId="0" borderId="0"/>
    <xf numFmtId="0" fontId="34" fillId="0" borderId="0"/>
    <xf numFmtId="0" fontId="1" fillId="0" borderId="0"/>
    <xf numFmtId="0" fontId="34" fillId="0" borderId="0"/>
  </cellStyleXfs>
  <cellXfs count="4566">
    <xf numFmtId="0" fontId="0" fillId="0" borderId="0" xfId="0"/>
    <xf numFmtId="0" fontId="3" fillId="0" borderId="1" xfId="0" applyFont="1" applyBorder="1" applyAlignment="1">
      <alignment vertical="center"/>
    </xf>
    <xf numFmtId="0" fontId="4" fillId="0" borderId="0" xfId="0" applyFont="1"/>
    <xf numFmtId="0" fontId="3" fillId="0" borderId="1" xfId="0" applyFont="1" applyBorder="1" applyAlignment="1">
      <alignment horizontal="left" vertical="center"/>
    </xf>
    <xf numFmtId="49" fontId="3" fillId="0" borderId="1" xfId="0" applyNumberFormat="1" applyFont="1" applyBorder="1" applyAlignment="1">
      <alignment vertical="center"/>
    </xf>
    <xf numFmtId="17" fontId="3" fillId="0" borderId="1" xfId="0" applyNumberFormat="1" applyFont="1" applyBorder="1" applyAlignment="1">
      <alignment horizontal="left"/>
    </xf>
    <xf numFmtId="3" fontId="3" fillId="0" borderId="1" xfId="0" applyNumberFormat="1" applyFont="1" applyBorder="1" applyAlignment="1">
      <alignment horizontal="left" vertical="center" wrapText="1"/>
    </xf>
    <xf numFmtId="0" fontId="5" fillId="0" borderId="4" xfId="0" applyFont="1" applyBorder="1" applyAlignment="1">
      <alignment horizontal="justify" vertical="center"/>
    </xf>
    <xf numFmtId="0" fontId="5" fillId="0" borderId="2" xfId="0" applyFont="1" applyBorder="1" applyAlignment="1">
      <alignment horizontal="justify" vertical="center"/>
    </xf>
    <xf numFmtId="10" fontId="7" fillId="0" borderId="2" xfId="5" applyNumberFormat="1" applyFont="1" applyBorder="1" applyAlignment="1">
      <alignment horizontal="center" vertical="center"/>
    </xf>
    <xf numFmtId="0" fontId="5" fillId="0" borderId="2" xfId="0" applyFont="1" applyBorder="1" applyAlignment="1">
      <alignment vertical="center"/>
    </xf>
    <xf numFmtId="0" fontId="5" fillId="0" borderId="2" xfId="0" applyFont="1" applyBorder="1" applyAlignment="1">
      <alignment horizontal="center" vertical="center"/>
    </xf>
    <xf numFmtId="0" fontId="5" fillId="0" borderId="5" xfId="0" applyFont="1" applyBorder="1" applyAlignment="1">
      <alignment vertical="center"/>
    </xf>
    <xf numFmtId="1" fontId="5" fillId="2" borderId="8" xfId="0" applyNumberFormat="1" applyFont="1" applyFill="1" applyBorder="1" applyAlignment="1">
      <alignment horizontal="center" vertical="center" wrapText="1"/>
    </xf>
    <xf numFmtId="1" fontId="5" fillId="4" borderId="9" xfId="0" applyNumberFormat="1" applyFont="1" applyFill="1" applyBorder="1" applyAlignment="1">
      <alignment horizontal="left" vertical="center" wrapText="1"/>
    </xf>
    <xf numFmtId="0" fontId="5" fillId="4" borderId="10" xfId="0" applyFont="1" applyFill="1" applyBorder="1" applyAlignment="1">
      <alignment vertical="center"/>
    </xf>
    <xf numFmtId="0" fontId="5" fillId="4" borderId="10" xfId="0" applyFont="1" applyFill="1" applyBorder="1" applyAlignment="1">
      <alignment horizontal="justify" vertical="center"/>
    </xf>
    <xf numFmtId="0" fontId="5" fillId="4" borderId="10" xfId="0" applyFont="1" applyFill="1" applyBorder="1" applyAlignment="1">
      <alignment horizontal="center" vertical="center"/>
    </xf>
    <xf numFmtId="10" fontId="7" fillId="4" borderId="10" xfId="5" applyNumberFormat="1" applyFont="1" applyFill="1" applyBorder="1" applyAlignment="1">
      <alignment horizontal="center" vertical="center"/>
    </xf>
    <xf numFmtId="43" fontId="5" fillId="4" borderId="10" xfId="6" applyFont="1" applyFill="1" applyBorder="1" applyAlignment="1">
      <alignment horizontal="justify" vertical="center"/>
    </xf>
    <xf numFmtId="165" fontId="5" fillId="4" borderId="10" xfId="0" applyNumberFormat="1" applyFont="1" applyFill="1" applyBorder="1" applyAlignment="1">
      <alignment horizontal="center" vertical="center"/>
    </xf>
    <xf numFmtId="1" fontId="5" fillId="4" borderId="10" xfId="0" applyNumberFormat="1" applyFont="1" applyFill="1" applyBorder="1" applyAlignment="1">
      <alignment horizontal="center" vertical="center"/>
    </xf>
    <xf numFmtId="166" fontId="5" fillId="4" borderId="10" xfId="0" applyNumberFormat="1" applyFont="1" applyFill="1" applyBorder="1" applyAlignment="1">
      <alignment vertical="center"/>
    </xf>
    <xf numFmtId="0" fontId="5" fillId="4" borderId="15" xfId="0" applyFont="1" applyFill="1" applyBorder="1" applyAlignment="1">
      <alignment horizontal="justify" vertical="center"/>
    </xf>
    <xf numFmtId="1" fontId="5" fillId="5" borderId="7" xfId="0" applyNumberFormat="1" applyFont="1" applyFill="1" applyBorder="1" applyAlignment="1">
      <alignment vertical="center" wrapText="1"/>
    </xf>
    <xf numFmtId="1" fontId="5" fillId="5" borderId="3" xfId="0" applyNumberFormat="1" applyFont="1" applyFill="1" applyBorder="1" applyAlignment="1">
      <alignment vertical="center" wrapText="1"/>
    </xf>
    <xf numFmtId="1" fontId="5" fillId="5" borderId="6" xfId="0" applyNumberFormat="1" applyFont="1" applyFill="1" applyBorder="1" applyAlignment="1">
      <alignment vertical="center" wrapText="1"/>
    </xf>
    <xf numFmtId="1" fontId="5" fillId="2" borderId="4" xfId="0" applyNumberFormat="1" applyFont="1" applyFill="1" applyBorder="1" applyAlignment="1">
      <alignment horizontal="center" vertical="center"/>
    </xf>
    <xf numFmtId="0" fontId="5" fillId="2" borderId="2" xfId="0" applyFont="1" applyFill="1" applyBorder="1" applyAlignment="1">
      <alignment vertical="center"/>
    </xf>
    <xf numFmtId="0" fontId="5" fillId="2" borderId="2" xfId="0" applyFont="1" applyFill="1" applyBorder="1" applyAlignment="1">
      <alignment horizontal="justify" vertical="center"/>
    </xf>
    <xf numFmtId="10" fontId="7" fillId="2" borderId="2" xfId="5" applyNumberFormat="1" applyFont="1" applyFill="1" applyBorder="1" applyAlignment="1">
      <alignment horizontal="center" vertical="center"/>
    </xf>
    <xf numFmtId="43" fontId="5" fillId="2" borderId="2" xfId="6" applyFont="1" applyFill="1" applyBorder="1" applyAlignment="1">
      <alignment horizontal="justify" vertical="center"/>
    </xf>
    <xf numFmtId="165" fontId="5" fillId="2" borderId="2" xfId="0" applyNumberFormat="1" applyFont="1" applyFill="1" applyBorder="1" applyAlignment="1">
      <alignment horizontal="center" vertical="center"/>
    </xf>
    <xf numFmtId="1"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166" fontId="5" fillId="2" borderId="2" xfId="0" applyNumberFormat="1" applyFont="1" applyFill="1" applyBorder="1" applyAlignment="1">
      <alignment vertical="center"/>
    </xf>
    <xf numFmtId="0" fontId="5" fillId="2" borderId="5" xfId="0" applyFont="1" applyFill="1" applyBorder="1" applyAlignment="1">
      <alignment horizontal="justify" vertical="center"/>
    </xf>
    <xf numFmtId="1" fontId="5" fillId="5" borderId="12" xfId="0" applyNumberFormat="1" applyFont="1" applyFill="1" applyBorder="1" applyAlignment="1">
      <alignment vertical="center" wrapText="1"/>
    </xf>
    <xf numFmtId="1" fontId="5" fillId="5" borderId="0" xfId="0" applyNumberFormat="1" applyFont="1" applyFill="1" applyAlignment="1">
      <alignment vertical="center" wrapText="1"/>
    </xf>
    <xf numFmtId="1" fontId="5" fillId="5" borderId="11" xfId="0" applyNumberFormat="1" applyFont="1" applyFill="1" applyBorder="1" applyAlignment="1">
      <alignment vertical="center" wrapText="1"/>
    </xf>
    <xf numFmtId="0" fontId="5" fillId="5" borderId="7" xfId="0" applyFont="1" applyFill="1" applyBorder="1" applyAlignment="1">
      <alignment vertical="center" wrapText="1"/>
    </xf>
    <xf numFmtId="0" fontId="5" fillId="5" borderId="3" xfId="0" applyFont="1" applyFill="1" applyBorder="1" applyAlignment="1">
      <alignment vertical="center" wrapText="1"/>
    </xf>
    <xf numFmtId="0" fontId="5" fillId="5" borderId="6" xfId="0" applyFont="1" applyFill="1" applyBorder="1" applyAlignment="1">
      <alignment vertical="center" wrapText="1"/>
    </xf>
    <xf numFmtId="1" fontId="5" fillId="6" borderId="9" xfId="0" applyNumberFormat="1" applyFont="1" applyFill="1" applyBorder="1" applyAlignment="1">
      <alignment horizontal="left" vertical="center" wrapText="1" indent="1"/>
    </xf>
    <xf numFmtId="0" fontId="5" fillId="6" borderId="10" xfId="0" applyFont="1" applyFill="1" applyBorder="1" applyAlignment="1">
      <alignment vertical="center"/>
    </xf>
    <xf numFmtId="0" fontId="5" fillId="6" borderId="10" xfId="0" applyFont="1" applyFill="1" applyBorder="1" applyAlignment="1">
      <alignment horizontal="justify" vertical="center"/>
    </xf>
    <xf numFmtId="10" fontId="7" fillId="6" borderId="10" xfId="5" applyNumberFormat="1" applyFont="1" applyFill="1" applyBorder="1" applyAlignment="1">
      <alignment horizontal="center" vertical="center"/>
    </xf>
    <xf numFmtId="43" fontId="5" fillId="6" borderId="10" xfId="6" applyFont="1" applyFill="1" applyBorder="1" applyAlignment="1">
      <alignment horizontal="justify" vertical="center"/>
    </xf>
    <xf numFmtId="165" fontId="5" fillId="6" borderId="10" xfId="0" applyNumberFormat="1" applyFont="1" applyFill="1" applyBorder="1" applyAlignment="1">
      <alignment horizontal="center" vertical="center"/>
    </xf>
    <xf numFmtId="1" fontId="5" fillId="6" borderId="3" xfId="0" applyNumberFormat="1" applyFont="1" applyFill="1" applyBorder="1" applyAlignment="1">
      <alignment horizontal="center" vertical="center"/>
    </xf>
    <xf numFmtId="0" fontId="5" fillId="6" borderId="3" xfId="0" applyFont="1" applyFill="1" applyBorder="1" applyAlignment="1">
      <alignment horizontal="center" vertical="center"/>
    </xf>
    <xf numFmtId="166" fontId="5" fillId="6" borderId="10" xfId="0" applyNumberFormat="1" applyFont="1" applyFill="1" applyBorder="1" applyAlignment="1">
      <alignment vertical="center"/>
    </xf>
    <xf numFmtId="0" fontId="5" fillId="6" borderId="15" xfId="0" applyFont="1" applyFill="1" applyBorder="1" applyAlignment="1">
      <alignment horizontal="justify" vertical="center"/>
    </xf>
    <xf numFmtId="1" fontId="5" fillId="0" borderId="12" xfId="0" applyNumberFormat="1" applyFont="1" applyBorder="1" applyAlignment="1">
      <alignment vertical="center" wrapText="1"/>
    </xf>
    <xf numFmtId="1" fontId="5" fillId="0" borderId="0" xfId="0" applyNumberFormat="1" applyFont="1" applyAlignment="1">
      <alignment vertical="center" wrapText="1"/>
    </xf>
    <xf numFmtId="1" fontId="5" fillId="0" borderId="11" xfId="0" applyNumberFormat="1" applyFont="1" applyBorder="1" applyAlignment="1">
      <alignment vertical="center" wrapText="1"/>
    </xf>
    <xf numFmtId="0" fontId="5" fillId="0" borderId="12" xfId="0" applyFont="1" applyBorder="1" applyAlignment="1">
      <alignment vertical="center" wrapText="1"/>
    </xf>
    <xf numFmtId="0" fontId="5" fillId="0" borderId="0" xfId="0" applyFont="1" applyAlignment="1">
      <alignment vertical="center" wrapText="1"/>
    </xf>
    <xf numFmtId="0" fontId="5" fillId="0" borderId="11" xfId="0" applyFont="1" applyBorder="1" applyAlignment="1">
      <alignment vertical="center" wrapText="1"/>
    </xf>
    <xf numFmtId="0" fontId="4" fillId="0" borderId="7" xfId="0" applyFont="1" applyBorder="1" applyAlignment="1">
      <alignment vertical="center" wrapText="1"/>
    </xf>
    <xf numFmtId="0" fontId="4" fillId="0" borderId="3" xfId="0" applyFont="1" applyBorder="1" applyAlignment="1">
      <alignment vertical="center" wrapText="1"/>
    </xf>
    <xf numFmtId="0" fontId="4" fillId="0" borderId="6" xfId="0" applyFont="1" applyBorder="1" applyAlignment="1">
      <alignment vertical="center" wrapText="1"/>
    </xf>
    <xf numFmtId="0" fontId="4" fillId="0" borderId="1" xfId="0" applyFont="1" applyBorder="1" applyAlignment="1">
      <alignment horizontal="justify" vertical="center" wrapText="1"/>
    </xf>
    <xf numFmtId="43" fontId="4" fillId="0" borderId="1" xfId="6" applyFont="1" applyBorder="1" applyAlignment="1">
      <alignment horizontal="center" vertical="center" wrapText="1"/>
    </xf>
    <xf numFmtId="1"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10" fillId="0" borderId="0" xfId="0" applyFont="1"/>
    <xf numFmtId="0" fontId="4" fillId="0" borderId="12" xfId="0" applyFont="1" applyBorder="1" applyAlignment="1">
      <alignment vertical="center" wrapText="1"/>
    </xf>
    <xf numFmtId="0" fontId="4" fillId="0" borderId="0" xfId="0" applyFont="1" applyAlignment="1">
      <alignment vertical="center" wrapText="1"/>
    </xf>
    <xf numFmtId="0" fontId="4" fillId="0" borderId="11" xfId="0" applyFont="1" applyBorder="1" applyAlignment="1">
      <alignment vertical="center" wrapText="1"/>
    </xf>
    <xf numFmtId="1" fontId="4" fillId="0" borderId="1" xfId="0" applyNumberFormat="1" applyFont="1" applyBorder="1" applyAlignment="1">
      <alignment vertical="center" wrapText="1"/>
    </xf>
    <xf numFmtId="0" fontId="4" fillId="0" borderId="8" xfId="0" applyFont="1" applyBorder="1" applyAlignment="1">
      <alignment horizontal="center" vertical="center" wrapText="1"/>
    </xf>
    <xf numFmtId="0" fontId="4" fillId="0" borderId="8" xfId="0" applyFont="1" applyBorder="1" applyAlignment="1">
      <alignment vertical="center" wrapText="1"/>
    </xf>
    <xf numFmtId="0" fontId="4" fillId="7" borderId="8" xfId="0" applyFont="1" applyFill="1" applyBorder="1" applyAlignment="1">
      <alignment vertical="center" wrapText="1"/>
    </xf>
    <xf numFmtId="9" fontId="8" fillId="0" borderId="8" xfId="5" applyFont="1" applyBorder="1" applyAlignment="1">
      <alignment horizontal="center" vertical="center" wrapText="1"/>
    </xf>
    <xf numFmtId="43" fontId="4" fillId="0" borderId="8" xfId="6" applyFont="1" applyBorder="1" applyAlignment="1">
      <alignment vertical="center" wrapText="1"/>
    </xf>
    <xf numFmtId="3" fontId="4" fillId="0" borderId="1" xfId="0" applyNumberFormat="1" applyFont="1" applyBorder="1" applyAlignment="1">
      <alignment horizontal="justify" vertical="center" wrapText="1"/>
    </xf>
    <xf numFmtId="43" fontId="4" fillId="0" borderId="1" xfId="6" applyFont="1" applyFill="1" applyBorder="1" applyAlignment="1">
      <alignment horizontal="center" vertical="center" wrapText="1"/>
    </xf>
    <xf numFmtId="1" fontId="4" fillId="0" borderId="14" xfId="0" applyNumberFormat="1" applyFont="1" applyBorder="1" applyAlignment="1">
      <alignment horizontal="center" vertical="center" wrapText="1"/>
    </xf>
    <xf numFmtId="0" fontId="4" fillId="0" borderId="14" xfId="0" applyFont="1" applyBorder="1" applyAlignment="1">
      <alignment horizontal="center" vertical="center" wrapText="1"/>
    </xf>
    <xf numFmtId="3" fontId="4" fillId="0" borderId="8" xfId="0" applyNumberFormat="1" applyFont="1" applyBorder="1" applyAlignment="1">
      <alignment horizontal="center" vertical="center"/>
    </xf>
    <xf numFmtId="164" fontId="4" fillId="0" borderId="8" xfId="0" applyNumberFormat="1" applyFont="1" applyBorder="1" applyAlignment="1">
      <alignment horizontal="center" vertical="center" wrapText="1"/>
    </xf>
    <xf numFmtId="3" fontId="4" fillId="0" borderId="16" xfId="0" applyNumberFormat="1" applyFont="1" applyBorder="1" applyAlignment="1">
      <alignment horizontal="center" vertical="center" wrapText="1"/>
    </xf>
    <xf numFmtId="0" fontId="5" fillId="5" borderId="12" xfId="0" applyFont="1" applyFill="1" applyBorder="1" applyAlignment="1">
      <alignment vertical="center" wrapText="1"/>
    </xf>
    <xf numFmtId="0" fontId="5" fillId="5" borderId="0" xfId="0" applyFont="1" applyFill="1" applyAlignment="1">
      <alignment vertical="center" wrapText="1"/>
    </xf>
    <xf numFmtId="0" fontId="5" fillId="5" borderId="11" xfId="0" applyFont="1" applyFill="1" applyBorder="1" applyAlignment="1">
      <alignment vertical="center" wrapText="1"/>
    </xf>
    <xf numFmtId="0" fontId="4" fillId="5" borderId="12" xfId="0" applyFont="1" applyFill="1" applyBorder="1" applyAlignment="1">
      <alignment vertical="center" wrapText="1"/>
    </xf>
    <xf numFmtId="0" fontId="4" fillId="5" borderId="0" xfId="0" applyFont="1" applyFill="1" applyAlignment="1">
      <alignment vertical="center" wrapText="1"/>
    </xf>
    <xf numFmtId="0" fontId="4" fillId="5" borderId="11" xfId="0" applyFont="1" applyFill="1" applyBorder="1" applyAlignment="1">
      <alignment vertical="center" wrapText="1"/>
    </xf>
    <xf numFmtId="0" fontId="4" fillId="0" borderId="1" xfId="0" applyFont="1" applyBorder="1" applyAlignment="1">
      <alignment horizontal="justify" vertical="center" wrapText="1" readingOrder="2"/>
    </xf>
    <xf numFmtId="0" fontId="8" fillId="0" borderId="1" xfId="0" applyFont="1" applyBorder="1" applyAlignment="1">
      <alignment horizontal="justify" vertical="center" wrapText="1"/>
    </xf>
    <xf numFmtId="43" fontId="8" fillId="0" borderId="9" xfId="6" applyFont="1" applyBorder="1" applyAlignment="1">
      <alignment horizontal="center" vertical="center" wrapText="1"/>
    </xf>
    <xf numFmtId="1" fontId="4" fillId="0" borderId="9"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4" fillId="0" borderId="8" xfId="0" applyFont="1" applyBorder="1" applyAlignment="1">
      <alignment horizontal="justify" vertical="center" wrapText="1"/>
    </xf>
    <xf numFmtId="10" fontId="8" fillId="0" borderId="1" xfId="5" applyNumberFormat="1" applyFont="1" applyBorder="1" applyAlignment="1">
      <alignment horizontal="center" vertical="center" wrapText="1"/>
    </xf>
    <xf numFmtId="43" fontId="4" fillId="7" borderId="1" xfId="6" applyFont="1" applyFill="1" applyBorder="1" applyAlignment="1">
      <alignment horizontal="center" vertical="center" wrapText="1"/>
    </xf>
    <xf numFmtId="1" fontId="4"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3" fontId="4" fillId="0" borderId="1" xfId="0" applyNumberFormat="1" applyFont="1" applyBorder="1" applyAlignment="1">
      <alignment horizontal="center" vertical="center"/>
    </xf>
    <xf numFmtId="164" fontId="4" fillId="0" borderId="1" xfId="0" applyNumberFormat="1" applyFont="1" applyBorder="1" applyAlignment="1">
      <alignment horizontal="center" vertical="center" wrapText="1"/>
    </xf>
    <xf numFmtId="3" fontId="4" fillId="0" borderId="17"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5" borderId="8" xfId="0" applyFont="1" applyFill="1" applyBorder="1" applyAlignment="1">
      <alignment vertical="center" wrapText="1"/>
    </xf>
    <xf numFmtId="10" fontId="8" fillId="5" borderId="1" xfId="5" applyNumberFormat="1" applyFont="1" applyFill="1" applyBorder="1" applyAlignment="1">
      <alignment horizontal="center" vertical="center" wrapText="1"/>
    </xf>
    <xf numFmtId="43" fontId="8" fillId="0" borderId="1" xfId="6" applyFont="1" applyFill="1" applyBorder="1" applyAlignment="1">
      <alignment horizontal="right" vertical="center"/>
    </xf>
    <xf numFmtId="1" fontId="4" fillId="5" borderId="9"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3" xfId="0" applyFont="1" applyFill="1" applyBorder="1" applyAlignment="1">
      <alignment vertical="center" wrapText="1"/>
    </xf>
    <xf numFmtId="0" fontId="4" fillId="0" borderId="14" xfId="0" applyFont="1" applyBorder="1" applyAlignment="1">
      <alignment horizontal="justify" vertical="center" wrapText="1"/>
    </xf>
    <xf numFmtId="43" fontId="4" fillId="7" borderId="9" xfId="6" applyFont="1" applyFill="1" applyBorder="1" applyAlignment="1">
      <alignment horizontal="center" vertical="center" wrapText="1"/>
    </xf>
    <xf numFmtId="1" fontId="5" fillId="5" borderId="12" xfId="0" applyNumberFormat="1" applyFont="1" applyFill="1" applyBorder="1" applyAlignment="1">
      <alignment horizontal="center" vertical="center" wrapText="1"/>
    </xf>
    <xf numFmtId="1" fontId="5" fillId="5" borderId="0" xfId="0" applyNumberFormat="1" applyFont="1" applyFill="1" applyAlignment="1">
      <alignment horizontal="center" vertical="center" wrapText="1"/>
    </xf>
    <xf numFmtId="1" fontId="5" fillId="5" borderId="11" xfId="0" applyNumberFormat="1"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11" xfId="0" applyFont="1" applyFill="1" applyBorder="1" applyAlignment="1">
      <alignment horizontal="center" vertical="center" wrapText="1"/>
    </xf>
    <xf numFmtId="0" fontId="4" fillId="0" borderId="7" xfId="0" applyFont="1" applyBorder="1" applyAlignment="1">
      <alignment horizontal="center" vertical="center" wrapText="1"/>
    </xf>
    <xf numFmtId="10" fontId="8" fillId="5" borderId="8" xfId="5" applyNumberFormat="1" applyFont="1" applyFill="1" applyBorder="1" applyAlignment="1">
      <alignment horizontal="center" vertical="center" wrapText="1"/>
    </xf>
    <xf numFmtId="1" fontId="4" fillId="5" borderId="7" xfId="0" applyNumberFormat="1"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0" borderId="16" xfId="0" applyFont="1" applyBorder="1" applyAlignment="1">
      <alignment horizontal="center" vertical="center" wrapText="1"/>
    </xf>
    <xf numFmtId="0" fontId="5" fillId="5" borderId="19" xfId="0" applyFont="1" applyFill="1" applyBorder="1"/>
    <xf numFmtId="0" fontId="4" fillId="5" borderId="20" xfId="0" applyFont="1" applyFill="1" applyBorder="1"/>
    <xf numFmtId="0" fontId="4" fillId="5" borderId="20" xfId="0" applyFont="1" applyFill="1" applyBorder="1" applyAlignment="1">
      <alignment horizontal="justify"/>
    </xf>
    <xf numFmtId="0" fontId="4" fillId="5" borderId="20" xfId="0" applyFont="1" applyFill="1" applyBorder="1" applyAlignment="1">
      <alignment horizontal="justify" vertical="center" wrapText="1"/>
    </xf>
    <xf numFmtId="0" fontId="4" fillId="5" borderId="20" xfId="0" applyFont="1" applyFill="1" applyBorder="1" applyAlignment="1">
      <alignment horizontal="justify" vertical="center"/>
    </xf>
    <xf numFmtId="1" fontId="4" fillId="5" borderId="20" xfId="0" applyNumberFormat="1" applyFont="1" applyFill="1" applyBorder="1" applyAlignment="1">
      <alignment horizontal="justify" vertical="center"/>
    </xf>
    <xf numFmtId="10" fontId="8" fillId="5" borderId="21" xfId="5" applyNumberFormat="1" applyFont="1" applyFill="1" applyBorder="1" applyAlignment="1">
      <alignment horizontal="center" vertical="center"/>
    </xf>
    <xf numFmtId="43" fontId="5" fillId="5" borderId="22" xfId="6" applyFont="1" applyFill="1" applyBorder="1" applyAlignment="1">
      <alignment horizontal="justify" vertical="center"/>
    </xf>
    <xf numFmtId="0" fontId="4" fillId="5" borderId="19" xfId="0" applyFont="1" applyFill="1" applyBorder="1" applyAlignment="1">
      <alignment horizontal="justify" vertical="center" wrapText="1"/>
    </xf>
    <xf numFmtId="0" fontId="4" fillId="5" borderId="21" xfId="0" applyFont="1" applyFill="1" applyBorder="1" applyAlignment="1">
      <alignment horizontal="justify" vertical="center" wrapText="1"/>
    </xf>
    <xf numFmtId="43" fontId="5" fillId="0" borderId="22" xfId="6" applyFont="1" applyBorder="1" applyAlignment="1">
      <alignment horizontal="center" vertical="center"/>
    </xf>
    <xf numFmtId="1" fontId="4" fillId="5" borderId="19" xfId="0" applyNumberFormat="1" applyFont="1" applyFill="1" applyBorder="1" applyAlignment="1">
      <alignment horizontal="center" vertical="center"/>
    </xf>
    <xf numFmtId="1" fontId="4" fillId="5" borderId="20" xfId="0" applyNumberFormat="1" applyFont="1" applyFill="1" applyBorder="1" applyAlignment="1">
      <alignment horizontal="center" vertical="center"/>
    </xf>
    <xf numFmtId="1" fontId="4" fillId="5" borderId="20" xfId="0" applyNumberFormat="1" applyFont="1" applyFill="1" applyBorder="1" applyAlignment="1">
      <alignment horizontal="center" vertical="center" textRotation="180" wrapText="1"/>
    </xf>
    <xf numFmtId="166" fontId="4" fillId="5" borderId="20" xfId="0" applyNumberFormat="1" applyFont="1" applyFill="1" applyBorder="1" applyAlignment="1">
      <alignment horizontal="center" vertical="center"/>
    </xf>
    <xf numFmtId="0" fontId="4" fillId="5" borderId="21" xfId="0" applyFont="1" applyFill="1" applyBorder="1" applyAlignment="1">
      <alignment horizontal="justify" vertical="center"/>
    </xf>
    <xf numFmtId="0" fontId="4" fillId="5" borderId="0" xfId="0" applyFont="1" applyFill="1"/>
    <xf numFmtId="0" fontId="4" fillId="5" borderId="0" xfId="0" applyFont="1" applyFill="1" applyAlignment="1">
      <alignment horizontal="justify"/>
    </xf>
    <xf numFmtId="0" fontId="4" fillId="5" borderId="0" xfId="0" applyFont="1" applyFill="1" applyAlignment="1">
      <alignment horizontal="justify" vertical="center"/>
    </xf>
    <xf numFmtId="10" fontId="8" fillId="5" borderId="0" xfId="5" applyNumberFormat="1" applyFont="1" applyFill="1" applyAlignment="1">
      <alignment horizontal="center" vertical="center"/>
    </xf>
    <xf numFmtId="165" fontId="4" fillId="0" borderId="0" xfId="0" applyNumberFormat="1" applyFont="1" applyAlignment="1">
      <alignment horizontal="justify" vertical="center"/>
    </xf>
    <xf numFmtId="165" fontId="4" fillId="0" borderId="0" xfId="0" applyNumberFormat="1" applyFont="1" applyAlignment="1">
      <alignment horizontal="center" vertical="center"/>
    </xf>
    <xf numFmtId="1" fontId="4" fillId="5" borderId="0" xfId="0" applyNumberFormat="1" applyFont="1" applyFill="1" applyAlignment="1">
      <alignment horizontal="center" vertical="center"/>
    </xf>
    <xf numFmtId="0" fontId="4" fillId="5" borderId="0" xfId="0" applyFont="1" applyFill="1" applyAlignment="1">
      <alignment horizontal="center" vertical="center"/>
    </xf>
    <xf numFmtId="165" fontId="4" fillId="5" borderId="0" xfId="0" applyNumberFormat="1" applyFont="1" applyFill="1" applyAlignment="1">
      <alignment horizontal="center" vertical="center"/>
    </xf>
    <xf numFmtId="165" fontId="4" fillId="5" borderId="0" xfId="0" applyNumberFormat="1" applyFont="1" applyFill="1" applyAlignment="1">
      <alignment horizontal="justify" vertical="center"/>
    </xf>
    <xf numFmtId="0" fontId="5" fillId="5" borderId="0" xfId="0" applyFont="1" applyFill="1"/>
    <xf numFmtId="0" fontId="4" fillId="0" borderId="0" xfId="0" applyFont="1" applyAlignment="1">
      <alignment horizontal="justify"/>
    </xf>
    <xf numFmtId="10" fontId="8" fillId="0" borderId="0" xfId="5" applyNumberFormat="1" applyFont="1" applyAlignment="1">
      <alignment horizontal="center"/>
    </xf>
    <xf numFmtId="0" fontId="12" fillId="0" borderId="1" xfId="0" applyFont="1" applyBorder="1" applyAlignment="1">
      <alignment vertical="center"/>
    </xf>
    <xf numFmtId="0" fontId="13" fillId="7" borderId="0" xfId="0" applyFont="1" applyFill="1" applyAlignment="1">
      <alignment vertical="center"/>
    </xf>
    <xf numFmtId="0" fontId="13" fillId="0" borderId="0" xfId="0" applyFont="1" applyAlignment="1">
      <alignment vertical="center"/>
    </xf>
    <xf numFmtId="0" fontId="12" fillId="0" borderId="1" xfId="0" applyFont="1" applyBorder="1" applyAlignment="1">
      <alignment horizontal="left" vertical="center"/>
    </xf>
    <xf numFmtId="0" fontId="12" fillId="0" borderId="1" xfId="0" applyFont="1" applyBorder="1" applyAlignment="1">
      <alignment vertical="center" wrapText="1"/>
    </xf>
    <xf numFmtId="3" fontId="14" fillId="0" borderId="1" xfId="0" applyNumberFormat="1" applyFont="1" applyBorder="1" applyAlignment="1">
      <alignment horizontal="left" vertical="center" wrapText="1"/>
    </xf>
    <xf numFmtId="0" fontId="12" fillId="0" borderId="4" xfId="0" applyFont="1" applyBorder="1" applyAlignment="1">
      <alignment vertical="center"/>
    </xf>
    <xf numFmtId="0" fontId="12" fillId="0" borderId="2" xfId="0" applyFont="1" applyBorder="1" applyAlignment="1">
      <alignment vertical="center"/>
    </xf>
    <xf numFmtId="10" fontId="12" fillId="0" borderId="2" xfId="0" applyNumberFormat="1" applyFont="1" applyBorder="1" applyAlignment="1">
      <alignment vertical="center"/>
    </xf>
    <xf numFmtId="0" fontId="12" fillId="0" borderId="2" xfId="0" applyFont="1" applyBorder="1" applyAlignment="1">
      <alignment horizontal="center" vertical="center"/>
    </xf>
    <xf numFmtId="0" fontId="12" fillId="0" borderId="5" xfId="0" applyFont="1" applyBorder="1" applyAlignment="1">
      <alignment vertical="center"/>
    </xf>
    <xf numFmtId="0" fontId="12" fillId="8" borderId="1" xfId="0" applyFont="1" applyFill="1" applyBorder="1" applyAlignment="1">
      <alignment horizontal="center" vertical="center" wrapText="1"/>
    </xf>
    <xf numFmtId="1" fontId="12" fillId="8" borderId="8" xfId="0" applyNumberFormat="1" applyFont="1" applyFill="1" applyBorder="1" applyAlignment="1">
      <alignment horizontal="center" vertical="center" wrapText="1"/>
    </xf>
    <xf numFmtId="0" fontId="15" fillId="9" borderId="1" xfId="0" applyFont="1" applyFill="1" applyBorder="1" applyAlignment="1">
      <alignment horizontal="center" vertical="center" wrapText="1"/>
    </xf>
    <xf numFmtId="0" fontId="13" fillId="8" borderId="13" xfId="0" applyFont="1" applyFill="1" applyBorder="1" applyAlignment="1">
      <alignment horizontal="center" vertical="center" wrapText="1"/>
    </xf>
    <xf numFmtId="1" fontId="13" fillId="8" borderId="13" xfId="0" applyNumberFormat="1" applyFont="1" applyFill="1" applyBorder="1" applyAlignment="1">
      <alignment horizontal="center" vertical="center" wrapText="1"/>
    </xf>
    <xf numFmtId="0" fontId="13" fillId="8" borderId="8" xfId="0" applyFont="1" applyFill="1" applyBorder="1" applyAlignment="1">
      <alignment horizontal="center" vertical="center" textRotation="90" wrapText="1"/>
    </xf>
    <xf numFmtId="49" fontId="13" fillId="8" borderId="8" xfId="0" applyNumberFormat="1" applyFont="1" applyFill="1" applyBorder="1" applyAlignment="1">
      <alignment horizontal="center" vertical="center" textRotation="90" wrapText="1"/>
    </xf>
    <xf numFmtId="0" fontId="13" fillId="8" borderId="7" xfId="0" applyFont="1" applyFill="1" applyBorder="1" applyAlignment="1">
      <alignment horizontal="center" vertical="center" textRotation="90" wrapText="1"/>
    </xf>
    <xf numFmtId="0" fontId="13" fillId="7" borderId="0" xfId="0" applyFont="1" applyFill="1" applyAlignment="1">
      <alignment horizontal="center" vertical="center"/>
    </xf>
    <xf numFmtId="0" fontId="13" fillId="0" borderId="0" xfId="0" applyFont="1" applyAlignment="1">
      <alignment horizontal="center" vertical="center"/>
    </xf>
    <xf numFmtId="1" fontId="12" fillId="10" borderId="9" xfId="0" applyNumberFormat="1" applyFont="1" applyFill="1" applyBorder="1" applyAlignment="1">
      <alignment horizontal="center" vertical="center" wrapText="1"/>
    </xf>
    <xf numFmtId="1" fontId="12" fillId="10" borderId="10" xfId="0" applyNumberFormat="1" applyFont="1" applyFill="1" applyBorder="1" applyAlignment="1">
      <alignment vertical="center" wrapText="1"/>
    </xf>
    <xf numFmtId="1" fontId="12" fillId="10" borderId="10" xfId="0" applyNumberFormat="1" applyFont="1" applyFill="1" applyBorder="1" applyAlignment="1">
      <alignment horizontal="center" vertical="center" wrapText="1"/>
    </xf>
    <xf numFmtId="10" fontId="12" fillId="10" borderId="10" xfId="0" applyNumberFormat="1" applyFont="1" applyFill="1" applyBorder="1" applyAlignment="1">
      <alignment vertical="center" wrapText="1"/>
    </xf>
    <xf numFmtId="1" fontId="12" fillId="10" borderId="15" xfId="0" applyNumberFormat="1" applyFont="1" applyFill="1" applyBorder="1" applyAlignment="1">
      <alignment vertical="center" wrapText="1"/>
    </xf>
    <xf numFmtId="1" fontId="12" fillId="11" borderId="9" xfId="0" applyNumberFormat="1" applyFont="1" applyFill="1" applyBorder="1" applyAlignment="1">
      <alignment horizontal="center" vertical="center"/>
    </xf>
    <xf numFmtId="0" fontId="12" fillId="11" borderId="2" xfId="0" applyFont="1" applyFill="1" applyBorder="1" applyAlignment="1">
      <alignment vertical="center"/>
    </xf>
    <xf numFmtId="0" fontId="12" fillId="11" borderId="2" xfId="0" applyFont="1" applyFill="1" applyBorder="1" applyAlignment="1">
      <alignment horizontal="center" vertical="center"/>
    </xf>
    <xf numFmtId="0" fontId="12" fillId="11" borderId="2" xfId="0" applyFont="1" applyFill="1" applyBorder="1" applyAlignment="1">
      <alignment horizontal="justify" vertical="center"/>
    </xf>
    <xf numFmtId="10" fontId="12" fillId="11" borderId="2" xfId="0" applyNumberFormat="1" applyFont="1" applyFill="1" applyBorder="1" applyAlignment="1">
      <alignment horizontal="center" vertical="center"/>
    </xf>
    <xf numFmtId="165" fontId="12" fillId="11" borderId="2" xfId="0" applyNumberFormat="1" applyFont="1" applyFill="1" applyBorder="1" applyAlignment="1">
      <alignment vertical="center"/>
    </xf>
    <xf numFmtId="165" fontId="12" fillId="11" borderId="2" xfId="0" applyNumberFormat="1" applyFont="1" applyFill="1" applyBorder="1" applyAlignment="1">
      <alignment horizontal="center" vertical="center"/>
    </xf>
    <xf numFmtId="1" fontId="12" fillId="11" borderId="2" xfId="0" applyNumberFormat="1" applyFont="1" applyFill="1" applyBorder="1" applyAlignment="1">
      <alignment horizontal="center" vertical="center"/>
    </xf>
    <xf numFmtId="166" fontId="12" fillId="11" borderId="2" xfId="0" applyNumberFormat="1" applyFont="1" applyFill="1" applyBorder="1" applyAlignment="1">
      <alignment vertical="center"/>
    </xf>
    <xf numFmtId="0" fontId="12" fillId="11" borderId="5" xfId="0" applyFont="1" applyFill="1" applyBorder="1" applyAlignment="1">
      <alignment horizontal="justify" vertical="center"/>
    </xf>
    <xf numFmtId="1" fontId="12" fillId="12" borderId="1" xfId="0" applyNumberFormat="1" applyFont="1" applyFill="1" applyBorder="1" applyAlignment="1">
      <alignment horizontal="center" vertical="center" wrapText="1"/>
    </xf>
    <xf numFmtId="0" fontId="12" fillId="12" borderId="10" xfId="0" applyFont="1" applyFill="1" applyBorder="1" applyAlignment="1">
      <alignment vertical="center"/>
    </xf>
    <xf numFmtId="0" fontId="12" fillId="12" borderId="10" xfId="0" applyFont="1" applyFill="1" applyBorder="1" applyAlignment="1">
      <alignment horizontal="center" vertical="center"/>
    </xf>
    <xf numFmtId="0" fontId="12" fillId="12" borderId="10" xfId="0" applyFont="1" applyFill="1" applyBorder="1" applyAlignment="1">
      <alignment horizontal="justify" vertical="center"/>
    </xf>
    <xf numFmtId="10" fontId="12" fillId="12" borderId="10" xfId="0" applyNumberFormat="1" applyFont="1" applyFill="1" applyBorder="1" applyAlignment="1">
      <alignment horizontal="center" vertical="center"/>
    </xf>
    <xf numFmtId="165" fontId="12" fillId="12" borderId="10" xfId="0" applyNumberFormat="1" applyFont="1" applyFill="1" applyBorder="1" applyAlignment="1">
      <alignment vertical="center"/>
    </xf>
    <xf numFmtId="165" fontId="12" fillId="12" borderId="10" xfId="0" applyNumberFormat="1" applyFont="1" applyFill="1" applyBorder="1" applyAlignment="1">
      <alignment horizontal="center" vertical="center"/>
    </xf>
    <xf numFmtId="1" fontId="12" fillId="12" borderId="10" xfId="0" applyNumberFormat="1" applyFont="1" applyFill="1" applyBorder="1" applyAlignment="1">
      <alignment horizontal="center" vertical="center"/>
    </xf>
    <xf numFmtId="166" fontId="12" fillId="12" borderId="10" xfId="0" applyNumberFormat="1" applyFont="1" applyFill="1" applyBorder="1" applyAlignment="1">
      <alignment vertical="center"/>
    </xf>
    <xf numFmtId="0" fontId="12" fillId="12" borderId="15" xfId="0" applyFont="1" applyFill="1" applyBorder="1" applyAlignment="1">
      <alignment horizontal="justify" vertical="center"/>
    </xf>
    <xf numFmtId="0" fontId="13" fillId="0" borderId="8" xfId="0" applyFont="1" applyBorder="1" applyAlignment="1">
      <alignment horizontal="justify" vertical="center" wrapText="1"/>
    </xf>
    <xf numFmtId="43" fontId="13" fillId="7" borderId="1" xfId="1" applyFont="1" applyFill="1" applyBorder="1" applyAlignment="1">
      <alignment horizontal="right" vertical="center" wrapText="1"/>
    </xf>
    <xf numFmtId="1" fontId="13" fillId="7" borderId="8" xfId="0" applyNumberFormat="1" applyFont="1" applyFill="1" applyBorder="1" applyAlignment="1">
      <alignment horizontal="center" vertical="center" wrapText="1"/>
    </xf>
    <xf numFmtId="0" fontId="13" fillId="7" borderId="8" xfId="0" applyFont="1" applyFill="1" applyBorder="1" applyAlignment="1">
      <alignment vertical="center" wrapText="1"/>
    </xf>
    <xf numFmtId="0" fontId="13" fillId="0" borderId="1" xfId="0" applyFont="1" applyBorder="1" applyAlignment="1">
      <alignment horizontal="justify" vertical="center" wrapText="1"/>
    </xf>
    <xf numFmtId="43" fontId="13" fillId="7" borderId="14" xfId="1" applyFont="1" applyFill="1" applyBorder="1" applyAlignment="1">
      <alignment horizontal="right" vertical="center" wrapText="1"/>
    </xf>
    <xf numFmtId="1" fontId="13" fillId="7" borderId="1" xfId="0" applyNumberFormat="1" applyFont="1" applyFill="1" applyBorder="1" applyAlignment="1">
      <alignment horizontal="center" vertical="center" wrapText="1"/>
    </xf>
    <xf numFmtId="0" fontId="13" fillId="7" borderId="1" xfId="0" applyFont="1" applyFill="1" applyBorder="1" applyAlignment="1">
      <alignment vertical="center" wrapText="1"/>
    </xf>
    <xf numFmtId="0" fontId="13" fillId="7" borderId="1" xfId="0" applyFont="1" applyFill="1" applyBorder="1" applyAlignment="1">
      <alignment horizontal="center" vertical="center" wrapText="1"/>
    </xf>
    <xf numFmtId="0" fontId="13" fillId="7" borderId="1" xfId="0" applyFont="1" applyFill="1" applyBorder="1" applyAlignment="1">
      <alignment horizontal="justify" vertical="center" wrapText="1"/>
    </xf>
    <xf numFmtId="3" fontId="16" fillId="0" borderId="1" xfId="0" applyNumberFormat="1" applyFont="1" applyBorder="1" applyAlignment="1">
      <alignment horizontal="center" vertical="center" wrapText="1"/>
    </xf>
    <xf numFmtId="10" fontId="13" fillId="7" borderId="1" xfId="0" applyNumberFormat="1" applyFont="1" applyFill="1" applyBorder="1" applyAlignment="1">
      <alignment horizontal="center" vertical="center" wrapText="1"/>
    </xf>
    <xf numFmtId="0" fontId="13" fillId="7" borderId="4" xfId="0" applyFont="1" applyFill="1" applyBorder="1" applyAlignment="1">
      <alignment horizontal="justify" vertical="center" wrapText="1"/>
    </xf>
    <xf numFmtId="1" fontId="13" fillId="7" borderId="14" xfId="0" applyNumberFormat="1" applyFont="1" applyFill="1" applyBorder="1" applyAlignment="1">
      <alignment horizontal="center" vertical="center" wrapText="1"/>
    </xf>
    <xf numFmtId="0" fontId="13" fillId="7" borderId="14"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3" fillId="7" borderId="8" xfId="0" applyFont="1" applyFill="1" applyBorder="1" applyAlignment="1">
      <alignment horizontal="justify" vertical="center" wrapText="1"/>
    </xf>
    <xf numFmtId="0" fontId="13" fillId="7" borderId="12" xfId="0" applyFont="1" applyFill="1" applyBorder="1" applyAlignment="1">
      <alignment horizontal="justify" vertical="center" wrapText="1"/>
    </xf>
    <xf numFmtId="43" fontId="13" fillId="7" borderId="13" xfId="1" applyFont="1" applyFill="1" applyBorder="1" applyAlignment="1">
      <alignment horizontal="right" vertical="center" wrapText="1"/>
    </xf>
    <xf numFmtId="1" fontId="13" fillId="7" borderId="13" xfId="0" applyNumberFormat="1" applyFont="1" applyFill="1" applyBorder="1" applyAlignment="1">
      <alignment horizontal="center" vertical="center" wrapText="1"/>
    </xf>
    <xf numFmtId="0" fontId="13" fillId="7" borderId="13" xfId="0" applyFont="1" applyFill="1" applyBorder="1" applyAlignment="1">
      <alignment horizontal="center" vertical="center" wrapText="1"/>
    </xf>
    <xf numFmtId="0" fontId="12" fillId="12" borderId="1" xfId="0" applyFont="1" applyFill="1" applyBorder="1" applyAlignment="1">
      <alignment horizontal="center" vertical="center" wrapText="1"/>
    </xf>
    <xf numFmtId="0" fontId="13" fillId="12" borderId="1" xfId="0" applyFont="1" applyFill="1" applyBorder="1" applyAlignment="1">
      <alignment vertical="center" wrapText="1"/>
    </xf>
    <xf numFmtId="0" fontId="13" fillId="12" borderId="1" xfId="0" applyFont="1" applyFill="1" applyBorder="1" applyAlignment="1">
      <alignment horizontal="justify" vertical="center" wrapText="1"/>
    </xf>
    <xf numFmtId="10" fontId="13" fillId="12" borderId="1" xfId="0" applyNumberFormat="1" applyFont="1" applyFill="1" applyBorder="1" applyAlignment="1">
      <alignment vertical="center" wrapText="1"/>
    </xf>
    <xf numFmtId="165" fontId="13" fillId="12" borderId="1" xfId="0" applyNumberFormat="1" applyFont="1" applyFill="1" applyBorder="1" applyAlignment="1">
      <alignment vertical="center" wrapText="1"/>
    </xf>
    <xf numFmtId="43" fontId="13" fillId="12" borderId="1" xfId="1" applyFont="1" applyFill="1" applyBorder="1" applyAlignment="1">
      <alignment horizontal="center" vertical="center" wrapText="1"/>
    </xf>
    <xf numFmtId="1" fontId="13" fillId="12" borderId="1" xfId="0" applyNumberFormat="1" applyFont="1" applyFill="1" applyBorder="1" applyAlignment="1">
      <alignment horizontal="center" vertical="center" wrapText="1"/>
    </xf>
    <xf numFmtId="0" fontId="13" fillId="12" borderId="1" xfId="0" applyFont="1" applyFill="1" applyBorder="1" applyAlignment="1">
      <alignment horizontal="center" vertical="center" wrapText="1"/>
    </xf>
    <xf numFmtId="1" fontId="12" fillId="12" borderId="1" xfId="0" applyNumberFormat="1" applyFont="1" applyFill="1" applyBorder="1" applyAlignment="1">
      <alignment vertical="center" textRotation="180" wrapText="1" readingOrder="2"/>
    </xf>
    <xf numFmtId="1" fontId="12" fillId="12" borderId="1" xfId="0" applyNumberFormat="1" applyFont="1" applyFill="1" applyBorder="1" applyAlignment="1">
      <alignment vertical="center" textRotation="180" wrapText="1"/>
    </xf>
    <xf numFmtId="1" fontId="13" fillId="12" borderId="1" xfId="0" applyNumberFormat="1" applyFont="1" applyFill="1" applyBorder="1" applyAlignment="1">
      <alignment vertical="center" textRotation="180" wrapText="1"/>
    </xf>
    <xf numFmtId="1" fontId="13" fillId="12" borderId="1" xfId="0" applyNumberFormat="1" applyFont="1" applyFill="1" applyBorder="1" applyAlignment="1">
      <alignment horizontal="center" vertical="center" textRotation="180" wrapText="1"/>
    </xf>
    <xf numFmtId="1" fontId="12" fillId="12" borderId="1" xfId="0" applyNumberFormat="1" applyFont="1" applyFill="1" applyBorder="1" applyAlignment="1">
      <alignment horizontal="center" vertical="center" textRotation="180" wrapText="1"/>
    </xf>
    <xf numFmtId="166" fontId="13" fillId="12" borderId="1" xfId="0" applyNumberFormat="1" applyFont="1" applyFill="1" applyBorder="1" applyAlignment="1">
      <alignment vertical="center" wrapText="1"/>
    </xf>
    <xf numFmtId="3" fontId="13" fillId="12" borderId="1" xfId="0" applyNumberFormat="1" applyFont="1" applyFill="1" applyBorder="1" applyAlignment="1">
      <alignment vertical="center" wrapText="1"/>
    </xf>
    <xf numFmtId="0" fontId="13" fillId="7" borderId="13" xfId="0" applyFont="1" applyFill="1" applyBorder="1" applyAlignment="1">
      <alignment horizontal="justify" vertical="center" wrapText="1"/>
    </xf>
    <xf numFmtId="10" fontId="13" fillId="7" borderId="8" xfId="0" applyNumberFormat="1" applyFont="1" applyFill="1" applyBorder="1" applyAlignment="1">
      <alignment vertical="center" wrapText="1"/>
    </xf>
    <xf numFmtId="0" fontId="13" fillId="0" borderId="1" xfId="0" applyFont="1" applyBorder="1" applyAlignment="1">
      <alignment horizontal="center" vertical="center"/>
    </xf>
    <xf numFmtId="10" fontId="13" fillId="7" borderId="1" xfId="0" applyNumberFormat="1" applyFont="1" applyFill="1" applyBorder="1" applyAlignment="1">
      <alignment vertical="center" wrapText="1"/>
    </xf>
    <xf numFmtId="43" fontId="13" fillId="7" borderId="1" xfId="1" applyFont="1" applyFill="1" applyBorder="1" applyAlignment="1">
      <alignment horizontal="right" vertical="center"/>
    </xf>
    <xf numFmtId="1" fontId="13" fillId="7" borderId="1" xfId="0" applyNumberFormat="1" applyFont="1" applyFill="1" applyBorder="1" applyAlignment="1">
      <alignment horizontal="center" vertical="center"/>
    </xf>
    <xf numFmtId="0" fontId="13" fillId="7" borderId="1" xfId="0" applyFont="1" applyFill="1" applyBorder="1" applyAlignment="1">
      <alignment horizontal="center" vertical="center"/>
    </xf>
    <xf numFmtId="0" fontId="12" fillId="12" borderId="1" xfId="0" applyFont="1" applyFill="1" applyBorder="1" applyAlignment="1">
      <alignment horizontal="center" vertical="center"/>
    </xf>
    <xf numFmtId="0" fontId="12" fillId="12" borderId="1" xfId="0" applyFont="1" applyFill="1" applyBorder="1" applyAlignment="1">
      <alignment vertical="center"/>
    </xf>
    <xf numFmtId="0" fontId="13" fillId="12" borderId="0" xfId="0" applyFont="1" applyFill="1" applyAlignment="1">
      <alignment horizontal="center" vertical="center"/>
    </xf>
    <xf numFmtId="0" fontId="13" fillId="12" borderId="0" xfId="0" applyFont="1" applyFill="1" applyAlignment="1">
      <alignment horizontal="justify" vertical="center"/>
    </xf>
    <xf numFmtId="0" fontId="13" fillId="12" borderId="0" xfId="0" applyFont="1" applyFill="1" applyAlignment="1">
      <alignment vertical="center"/>
    </xf>
    <xf numFmtId="0" fontId="13" fillId="12" borderId="0" xfId="0" applyFont="1" applyFill="1" applyAlignment="1">
      <alignment vertical="center" wrapText="1"/>
    </xf>
    <xf numFmtId="10" fontId="13" fillId="12" borderId="0" xfId="0" applyNumberFormat="1" applyFont="1" applyFill="1" applyAlignment="1">
      <alignment horizontal="center" vertical="center"/>
    </xf>
    <xf numFmtId="43" fontId="13" fillId="12" borderId="0" xfId="1" applyFont="1" applyFill="1" applyAlignment="1">
      <alignment vertical="center"/>
    </xf>
    <xf numFmtId="0" fontId="13" fillId="12" borderId="0" xfId="0" applyFont="1" applyFill="1" applyAlignment="1">
      <alignment horizontal="justify" vertical="center" wrapText="1"/>
    </xf>
    <xf numFmtId="43" fontId="13" fillId="12" borderId="0" xfId="1" applyFont="1" applyFill="1" applyAlignment="1">
      <alignment horizontal="center" vertical="center"/>
    </xf>
    <xf numFmtId="1" fontId="13" fillId="12" borderId="0" xfId="0" applyNumberFormat="1" applyFont="1" applyFill="1" applyAlignment="1">
      <alignment horizontal="center" vertical="center"/>
    </xf>
    <xf numFmtId="166" fontId="13" fillId="12" borderId="0" xfId="0" applyNumberFormat="1" applyFont="1" applyFill="1" applyAlignment="1">
      <alignment vertical="center" wrapText="1"/>
    </xf>
    <xf numFmtId="3" fontId="13" fillId="12" borderId="0" xfId="0" applyNumberFormat="1" applyFont="1" applyFill="1" applyAlignment="1">
      <alignment vertical="center" wrapText="1"/>
    </xf>
    <xf numFmtId="43" fontId="13" fillId="0" borderId="1" xfId="1" applyFont="1" applyBorder="1" applyAlignment="1">
      <alignment horizontal="right" vertical="center"/>
    </xf>
    <xf numFmtId="1" fontId="13" fillId="0" borderId="1" xfId="0" applyNumberFormat="1" applyFont="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justify" vertical="center" wrapText="1"/>
    </xf>
    <xf numFmtId="10" fontId="13" fillId="0" borderId="1" xfId="0" applyNumberFormat="1" applyFont="1" applyBorder="1" applyAlignment="1">
      <alignment horizontal="center" vertical="center"/>
    </xf>
    <xf numFmtId="3" fontId="16" fillId="0" borderId="14" xfId="0" applyNumberFormat="1" applyFont="1" applyBorder="1" applyAlignment="1">
      <alignment horizontal="center" vertical="center" wrapText="1"/>
    </xf>
    <xf numFmtId="10" fontId="13" fillId="7" borderId="1" xfId="0" applyNumberFormat="1" applyFont="1" applyFill="1" applyBorder="1" applyAlignment="1">
      <alignment horizontal="center" vertical="center"/>
    </xf>
    <xf numFmtId="0" fontId="18" fillId="0" borderId="1" xfId="0" applyFont="1" applyBorder="1" applyAlignment="1">
      <alignment horizontal="justify" vertical="center" wrapText="1" readingOrder="2"/>
    </xf>
    <xf numFmtId="43" fontId="13" fillId="7" borderId="1" xfId="1" applyFont="1" applyFill="1" applyBorder="1" applyAlignment="1">
      <alignment vertical="center"/>
    </xf>
    <xf numFmtId="3" fontId="16" fillId="7" borderId="1" xfId="0" applyNumberFormat="1" applyFont="1" applyFill="1" applyBorder="1" applyAlignment="1">
      <alignment horizontal="center" vertical="center" wrapText="1"/>
    </xf>
    <xf numFmtId="0" fontId="18" fillId="7" borderId="1" xfId="0" applyFont="1" applyFill="1" applyBorder="1" applyAlignment="1">
      <alignment horizontal="justify" vertical="center" wrapText="1"/>
    </xf>
    <xf numFmtId="0" fontId="18" fillId="7" borderId="14" xfId="0" applyFont="1" applyFill="1" applyBorder="1" applyAlignment="1">
      <alignment horizontal="justify" vertical="center" wrapText="1"/>
    </xf>
    <xf numFmtId="0" fontId="13" fillId="0" borderId="8" xfId="0" applyFont="1" applyBorder="1" applyAlignment="1">
      <alignment horizontal="center" vertical="center"/>
    </xf>
    <xf numFmtId="0" fontId="0" fillId="0" borderId="0" xfId="0" applyAlignment="1">
      <alignment horizontal="justify" vertical="center" wrapText="1"/>
    </xf>
    <xf numFmtId="10" fontId="13" fillId="7" borderId="8" xfId="0" applyNumberFormat="1" applyFont="1" applyFill="1" applyBorder="1" applyAlignment="1">
      <alignment horizontal="center" vertical="center"/>
    </xf>
    <xf numFmtId="43" fontId="13" fillId="7" borderId="8" xfId="1" applyFont="1" applyFill="1" applyBorder="1" applyAlignment="1">
      <alignment vertical="center"/>
    </xf>
    <xf numFmtId="1" fontId="13" fillId="7" borderId="8" xfId="0" applyNumberFormat="1" applyFont="1" applyFill="1" applyBorder="1" applyAlignment="1">
      <alignment horizontal="center" vertical="center"/>
    </xf>
    <xf numFmtId="1" fontId="12" fillId="10" borderId="1" xfId="0" applyNumberFormat="1" applyFont="1" applyFill="1" applyBorder="1" applyAlignment="1">
      <alignment horizontal="center" vertical="center"/>
    </xf>
    <xf numFmtId="0" fontId="12" fillId="10" borderId="10" xfId="0" applyFont="1" applyFill="1" applyBorder="1" applyAlignment="1">
      <alignment vertical="center"/>
    </xf>
    <xf numFmtId="0" fontId="13" fillId="10" borderId="10" xfId="0" applyFont="1" applyFill="1" applyBorder="1" applyAlignment="1">
      <alignment vertical="center"/>
    </xf>
    <xf numFmtId="0" fontId="13" fillId="10" borderId="10" xfId="0" applyFont="1" applyFill="1" applyBorder="1" applyAlignment="1">
      <alignment horizontal="center" vertical="center"/>
    </xf>
    <xf numFmtId="0" fontId="13" fillId="10" borderId="3" xfId="0" applyFont="1" applyFill="1" applyBorder="1" applyAlignment="1">
      <alignment horizontal="justify" vertical="center"/>
    </xf>
    <xf numFmtId="0" fontId="13" fillId="10" borderId="3" xfId="0" applyFont="1" applyFill="1" applyBorder="1" applyAlignment="1">
      <alignment vertical="center"/>
    </xf>
    <xf numFmtId="0" fontId="13" fillId="10" borderId="3" xfId="0" applyFont="1" applyFill="1" applyBorder="1" applyAlignment="1">
      <alignment horizontal="center" vertical="center"/>
    </xf>
    <xf numFmtId="10" fontId="13" fillId="10" borderId="3" xfId="0" applyNumberFormat="1" applyFont="1" applyFill="1" applyBorder="1" applyAlignment="1">
      <alignment horizontal="center" vertical="center"/>
    </xf>
    <xf numFmtId="43" fontId="13" fillId="10" borderId="3" xfId="1" applyFont="1" applyFill="1" applyBorder="1" applyAlignment="1">
      <alignment vertical="center"/>
    </xf>
    <xf numFmtId="43" fontId="13" fillId="10" borderId="3" xfId="1" applyFont="1" applyFill="1" applyBorder="1" applyAlignment="1">
      <alignment horizontal="center" vertical="center"/>
    </xf>
    <xf numFmtId="1" fontId="13" fillId="10" borderId="3" xfId="0" applyNumberFormat="1" applyFont="1" applyFill="1" applyBorder="1" applyAlignment="1">
      <alignment horizontal="center" vertical="center"/>
    </xf>
    <xf numFmtId="166" fontId="13" fillId="10" borderId="3" xfId="0" applyNumberFormat="1" applyFont="1" applyFill="1" applyBorder="1" applyAlignment="1">
      <alignment horizontal="right" vertical="center"/>
    </xf>
    <xf numFmtId="166" fontId="13" fillId="10" borderId="3" xfId="0" applyNumberFormat="1" applyFont="1" applyFill="1" applyBorder="1" applyAlignment="1">
      <alignment horizontal="center" vertical="center"/>
    </xf>
    <xf numFmtId="0" fontId="13" fillId="10" borderId="6" xfId="0" applyFont="1" applyFill="1" applyBorder="1" applyAlignment="1">
      <alignment horizontal="justify" vertical="center"/>
    </xf>
    <xf numFmtId="0" fontId="12" fillId="11" borderId="14" xfId="0" applyFont="1" applyFill="1" applyBorder="1" applyAlignment="1">
      <alignment horizontal="center" vertical="center"/>
    </xf>
    <xf numFmtId="0" fontId="13" fillId="11" borderId="2" xfId="0" applyFont="1" applyFill="1" applyBorder="1" applyAlignment="1">
      <alignment horizontal="center" vertical="center"/>
    </xf>
    <xf numFmtId="0" fontId="13" fillId="11" borderId="10" xfId="0" applyFont="1" applyFill="1" applyBorder="1" applyAlignment="1">
      <alignment horizontal="justify" vertical="center"/>
    </xf>
    <xf numFmtId="0" fontId="13" fillId="11" borderId="10" xfId="0" applyFont="1" applyFill="1" applyBorder="1" applyAlignment="1">
      <alignment vertical="center"/>
    </xf>
    <xf numFmtId="0" fontId="13" fillId="11" borderId="10" xfId="0" applyFont="1" applyFill="1" applyBorder="1" applyAlignment="1">
      <alignment horizontal="center" vertical="center"/>
    </xf>
    <xf numFmtId="10" fontId="13" fillId="11" borderId="10" xfId="0" applyNumberFormat="1" applyFont="1" applyFill="1" applyBorder="1" applyAlignment="1">
      <alignment horizontal="center" vertical="center"/>
    </xf>
    <xf numFmtId="43" fontId="13" fillId="11" borderId="10" xfId="1" applyFont="1" applyFill="1" applyBorder="1" applyAlignment="1">
      <alignment vertical="center"/>
    </xf>
    <xf numFmtId="43" fontId="13" fillId="11" borderId="10" xfId="1" applyFont="1" applyFill="1" applyBorder="1" applyAlignment="1">
      <alignment horizontal="center" vertical="center"/>
    </xf>
    <xf numFmtId="1" fontId="13" fillId="11" borderId="10" xfId="0" applyNumberFormat="1" applyFont="1" applyFill="1" applyBorder="1" applyAlignment="1">
      <alignment horizontal="center" vertical="center"/>
    </xf>
    <xf numFmtId="166" fontId="13" fillId="11" borderId="10" xfId="0" applyNumberFormat="1" applyFont="1" applyFill="1" applyBorder="1" applyAlignment="1">
      <alignment horizontal="right" vertical="center"/>
    </xf>
    <xf numFmtId="166" fontId="13" fillId="11" borderId="10" xfId="0" applyNumberFormat="1" applyFont="1" applyFill="1" applyBorder="1" applyAlignment="1">
      <alignment horizontal="center" vertical="center"/>
    </xf>
    <xf numFmtId="0" fontId="13" fillId="11" borderId="15" xfId="0" applyFont="1" applyFill="1" applyBorder="1" applyAlignment="1">
      <alignment horizontal="justify" vertical="center"/>
    </xf>
    <xf numFmtId="0" fontId="12" fillId="12" borderId="3" xfId="0" applyFont="1" applyFill="1" applyBorder="1" applyAlignment="1">
      <alignment vertical="center"/>
    </xf>
    <xf numFmtId="0" fontId="13" fillId="12" borderId="10" xfId="0" applyFont="1" applyFill="1" applyBorder="1" applyAlignment="1">
      <alignment horizontal="justify" vertical="center"/>
    </xf>
    <xf numFmtId="10" fontId="13" fillId="12" borderId="10" xfId="0" applyNumberFormat="1" applyFont="1" applyFill="1" applyBorder="1" applyAlignment="1">
      <alignment horizontal="center" vertical="center"/>
    </xf>
    <xf numFmtId="43" fontId="13" fillId="12" borderId="10" xfId="1" applyFont="1" applyFill="1" applyBorder="1" applyAlignment="1">
      <alignment vertical="center"/>
    </xf>
    <xf numFmtId="43" fontId="13" fillId="12" borderId="10" xfId="1" applyFont="1" applyFill="1" applyBorder="1" applyAlignment="1">
      <alignment horizontal="center" vertical="center"/>
    </xf>
    <xf numFmtId="1" fontId="13" fillId="12" borderId="10" xfId="0" applyNumberFormat="1" applyFont="1" applyFill="1" applyBorder="1" applyAlignment="1">
      <alignment horizontal="center" vertical="center"/>
    </xf>
    <xf numFmtId="0" fontId="13" fillId="12" borderId="10" xfId="0" applyFont="1" applyFill="1" applyBorder="1" applyAlignment="1">
      <alignment horizontal="center" vertical="center"/>
    </xf>
    <xf numFmtId="0" fontId="13" fillId="12" borderId="10" xfId="0" applyFont="1" applyFill="1" applyBorder="1" applyAlignment="1">
      <alignment vertical="center"/>
    </xf>
    <xf numFmtId="166" fontId="13" fillId="12" borderId="10" xfId="0" applyNumberFormat="1" applyFont="1" applyFill="1" applyBorder="1" applyAlignment="1">
      <alignment horizontal="right" vertical="center"/>
    </xf>
    <xf numFmtId="166" fontId="13" fillId="12" borderId="10" xfId="0" applyNumberFormat="1" applyFont="1" applyFill="1" applyBorder="1" applyAlignment="1">
      <alignment horizontal="center" vertical="center"/>
    </xf>
    <xf numFmtId="0" fontId="13" fillId="12" borderId="15" xfId="0" applyFont="1" applyFill="1" applyBorder="1" applyAlignment="1">
      <alignment horizontal="justify" vertical="center"/>
    </xf>
    <xf numFmtId="0" fontId="16" fillId="0" borderId="1" xfId="0" applyFont="1" applyBorder="1" applyAlignment="1">
      <alignment horizontal="justify" vertical="center" wrapText="1"/>
    </xf>
    <xf numFmtId="0" fontId="16" fillId="7" borderId="1" xfId="0" applyFont="1" applyFill="1" applyBorder="1" applyAlignment="1">
      <alignment horizontal="justify" vertical="center" wrapText="1"/>
    </xf>
    <xf numFmtId="0" fontId="12" fillId="12" borderId="0" xfId="0" applyFont="1" applyFill="1" applyAlignment="1">
      <alignment vertical="center"/>
    </xf>
    <xf numFmtId="0" fontId="8" fillId="7" borderId="1" xfId="0" applyFont="1" applyFill="1" applyBorder="1" applyAlignment="1">
      <alignment horizontal="justify" vertical="center" wrapText="1"/>
    </xf>
    <xf numFmtId="3" fontId="16" fillId="7" borderId="23" xfId="0" applyNumberFormat="1" applyFont="1" applyFill="1" applyBorder="1" applyAlignment="1">
      <alignment horizontal="center" vertical="center" wrapText="1"/>
    </xf>
    <xf numFmtId="0" fontId="8" fillId="7" borderId="8" xfId="0" applyFont="1" applyFill="1" applyBorder="1" applyAlignment="1">
      <alignment horizontal="justify" vertical="center" wrapText="1"/>
    </xf>
    <xf numFmtId="3" fontId="16" fillId="7" borderId="24" xfId="0" applyNumberFormat="1" applyFont="1" applyFill="1" applyBorder="1" applyAlignment="1">
      <alignment horizontal="center" vertical="center" wrapText="1"/>
    </xf>
    <xf numFmtId="43" fontId="13" fillId="7" borderId="8" xfId="1" applyFont="1" applyFill="1" applyBorder="1" applyAlignment="1">
      <alignment horizontal="right" vertical="center"/>
    </xf>
    <xf numFmtId="0" fontId="12" fillId="12" borderId="9" xfId="0" applyFont="1" applyFill="1" applyBorder="1" applyAlignment="1">
      <alignment horizontal="justify" vertical="center"/>
    </xf>
    <xf numFmtId="0" fontId="13" fillId="12" borderId="10" xfId="0" applyFont="1" applyFill="1" applyBorder="1" applyAlignment="1">
      <alignment horizontal="justify" vertical="center" wrapText="1"/>
    </xf>
    <xf numFmtId="165" fontId="13" fillId="12" borderId="10" xfId="0" applyNumberFormat="1" applyFont="1" applyFill="1" applyBorder="1" applyAlignment="1">
      <alignment horizontal="center" vertical="center"/>
    </xf>
    <xf numFmtId="1" fontId="16" fillId="0" borderId="14" xfId="0" applyNumberFormat="1" applyFont="1" applyBorder="1" applyAlignment="1">
      <alignment horizontal="center" vertical="center" wrapText="1"/>
    </xf>
    <xf numFmtId="0" fontId="13" fillId="7" borderId="1" xfId="0" applyFont="1" applyFill="1" applyBorder="1" applyAlignment="1">
      <alignment horizontal="justify" vertical="center"/>
    </xf>
    <xf numFmtId="165" fontId="13" fillId="7" borderId="1" xfId="0" applyNumberFormat="1" applyFont="1" applyFill="1" applyBorder="1" applyAlignment="1">
      <alignment vertical="center"/>
    </xf>
    <xf numFmtId="1" fontId="16" fillId="0" borderId="1" xfId="0" applyNumberFormat="1" applyFont="1" applyBorder="1" applyAlignment="1">
      <alignment horizontal="center" vertical="center" wrapText="1"/>
    </xf>
    <xf numFmtId="1" fontId="12" fillId="10" borderId="9" xfId="0" applyNumberFormat="1" applyFont="1" applyFill="1" applyBorder="1" applyAlignment="1">
      <alignment horizontal="center" vertical="center"/>
    </xf>
    <xf numFmtId="0" fontId="12" fillId="10" borderId="3" xfId="0" applyFont="1" applyFill="1" applyBorder="1" applyAlignment="1">
      <alignment vertical="center"/>
    </xf>
    <xf numFmtId="0" fontId="13" fillId="10" borderId="0" xfId="0" applyFont="1" applyFill="1" applyAlignment="1">
      <alignment vertical="center"/>
    </xf>
    <xf numFmtId="0" fontId="13" fillId="10" borderId="2" xfId="0" applyFont="1" applyFill="1" applyBorder="1" applyAlignment="1">
      <alignment vertical="center"/>
    </xf>
    <xf numFmtId="0" fontId="13" fillId="10" borderId="2" xfId="0" applyFont="1" applyFill="1" applyBorder="1" applyAlignment="1">
      <alignment horizontal="center" vertical="center"/>
    </xf>
    <xf numFmtId="0" fontId="13" fillId="10" borderId="2" xfId="0" applyFont="1" applyFill="1" applyBorder="1" applyAlignment="1">
      <alignment horizontal="justify" vertical="center"/>
    </xf>
    <xf numFmtId="10" fontId="13" fillId="10" borderId="2" xfId="0" applyNumberFormat="1" applyFont="1" applyFill="1" applyBorder="1" applyAlignment="1">
      <alignment horizontal="center" vertical="center"/>
    </xf>
    <xf numFmtId="43" fontId="13" fillId="10" borderId="2" xfId="1" applyFont="1" applyFill="1" applyBorder="1" applyAlignment="1">
      <alignment vertical="center"/>
    </xf>
    <xf numFmtId="165" fontId="13" fillId="10" borderId="2" xfId="0" applyNumberFormat="1" applyFont="1" applyFill="1" applyBorder="1" applyAlignment="1">
      <alignment horizontal="center" vertical="center"/>
    </xf>
    <xf numFmtId="1" fontId="13" fillId="10" borderId="2" xfId="0" applyNumberFormat="1" applyFont="1" applyFill="1" applyBorder="1" applyAlignment="1">
      <alignment horizontal="center" vertical="center"/>
    </xf>
    <xf numFmtId="166" fontId="13" fillId="10" borderId="2" xfId="0" applyNumberFormat="1" applyFont="1" applyFill="1" applyBorder="1" applyAlignment="1">
      <alignment horizontal="right" vertical="center"/>
    </xf>
    <xf numFmtId="166" fontId="13" fillId="10" borderId="2" xfId="0" applyNumberFormat="1" applyFont="1" applyFill="1" applyBorder="1" applyAlignment="1">
      <alignment horizontal="center" vertical="center"/>
    </xf>
    <xf numFmtId="0" fontId="13" fillId="10" borderId="5" xfId="0" applyFont="1" applyFill="1" applyBorder="1" applyAlignment="1">
      <alignment horizontal="justify" vertical="center"/>
    </xf>
    <xf numFmtId="0" fontId="12" fillId="13" borderId="1" xfId="0" applyFont="1" applyFill="1" applyBorder="1" applyAlignment="1">
      <alignment horizontal="center" vertical="center"/>
    </xf>
    <xf numFmtId="0" fontId="12" fillId="13" borderId="10" xfId="0" applyFont="1" applyFill="1" applyBorder="1" applyAlignment="1">
      <alignment vertical="center"/>
    </xf>
    <xf numFmtId="0" fontId="12" fillId="13" borderId="10" xfId="0" applyFont="1" applyFill="1" applyBorder="1" applyAlignment="1">
      <alignment horizontal="center" vertical="center"/>
    </xf>
    <xf numFmtId="0" fontId="13" fillId="13" borderId="10" xfId="0" applyFont="1" applyFill="1" applyBorder="1" applyAlignment="1">
      <alignment horizontal="center" vertical="center"/>
    </xf>
    <xf numFmtId="0" fontId="13" fillId="13" borderId="10" xfId="0" applyFont="1" applyFill="1" applyBorder="1" applyAlignment="1">
      <alignment horizontal="justify" vertical="center"/>
    </xf>
    <xf numFmtId="0" fontId="13" fillId="13" borderId="10" xfId="0" applyFont="1" applyFill="1" applyBorder="1" applyAlignment="1">
      <alignment vertical="center"/>
    </xf>
    <xf numFmtId="10" fontId="13" fillId="13" borderId="10" xfId="0" applyNumberFormat="1" applyFont="1" applyFill="1" applyBorder="1" applyAlignment="1">
      <alignment horizontal="center" vertical="center"/>
    </xf>
    <xf numFmtId="43" fontId="13" fillId="13" borderId="10" xfId="1" applyFont="1" applyFill="1" applyBorder="1" applyAlignment="1">
      <alignment vertical="center"/>
    </xf>
    <xf numFmtId="165" fontId="13" fillId="13" borderId="10" xfId="0" applyNumberFormat="1" applyFont="1" applyFill="1" applyBorder="1" applyAlignment="1">
      <alignment horizontal="center" vertical="center"/>
    </xf>
    <xf numFmtId="1" fontId="13" fillId="13" borderId="10" xfId="0" applyNumberFormat="1" applyFont="1" applyFill="1" applyBorder="1" applyAlignment="1">
      <alignment horizontal="center" vertical="center"/>
    </xf>
    <xf numFmtId="166" fontId="13" fillId="13" borderId="10" xfId="0" applyNumberFormat="1" applyFont="1" applyFill="1" applyBorder="1" applyAlignment="1">
      <alignment horizontal="right" vertical="center"/>
    </xf>
    <xf numFmtId="166" fontId="13" fillId="13" borderId="10" xfId="0" applyNumberFormat="1" applyFont="1" applyFill="1" applyBorder="1" applyAlignment="1">
      <alignment horizontal="center" vertical="center"/>
    </xf>
    <xf numFmtId="0" fontId="13" fillId="13" borderId="15" xfId="0" applyFont="1" applyFill="1" applyBorder="1" applyAlignment="1">
      <alignment horizontal="justify" vertical="center"/>
    </xf>
    <xf numFmtId="0" fontId="12" fillId="12" borderId="9" xfId="0" applyFont="1" applyFill="1" applyBorder="1" applyAlignment="1">
      <alignment vertical="center"/>
    </xf>
    <xf numFmtId="0" fontId="20" fillId="7" borderId="8" xfId="0" applyFont="1" applyFill="1" applyBorder="1" applyAlignment="1">
      <alignment horizontal="justify" vertical="center" wrapText="1"/>
    </xf>
    <xf numFmtId="1" fontId="16" fillId="7" borderId="1" xfId="0" applyNumberFormat="1" applyFont="1" applyFill="1" applyBorder="1" applyAlignment="1">
      <alignment horizontal="center" vertical="center" wrapText="1"/>
    </xf>
    <xf numFmtId="0" fontId="20" fillId="7" borderId="1" xfId="0" applyFont="1" applyFill="1" applyBorder="1" applyAlignment="1">
      <alignment horizontal="justify" vertical="center" wrapText="1"/>
    </xf>
    <xf numFmtId="1" fontId="16" fillId="7" borderId="1" xfId="0" applyNumberFormat="1" applyFont="1" applyFill="1" applyBorder="1" applyAlignment="1">
      <alignment horizontal="center" vertical="center"/>
    </xf>
    <xf numFmtId="1" fontId="12" fillId="0" borderId="1" xfId="0" applyNumberFormat="1" applyFont="1" applyBorder="1" applyAlignment="1">
      <alignment vertical="center"/>
    </xf>
    <xf numFmtId="0" fontId="12" fillId="0" borderId="1" xfId="0" applyFont="1" applyBorder="1" applyAlignment="1">
      <alignment horizontal="center" vertical="center"/>
    </xf>
    <xf numFmtId="0" fontId="12" fillId="7" borderId="1" xfId="0" applyFont="1" applyFill="1" applyBorder="1" applyAlignment="1">
      <alignment horizontal="justify" vertical="center"/>
    </xf>
    <xf numFmtId="0" fontId="7" fillId="7" borderId="1" xfId="0" applyFont="1" applyFill="1" applyBorder="1" applyAlignment="1">
      <alignment vertical="center" wrapText="1"/>
    </xf>
    <xf numFmtId="0" fontId="12" fillId="7" borderId="1" xfId="0" applyFont="1" applyFill="1" applyBorder="1" applyAlignment="1">
      <alignment vertical="center"/>
    </xf>
    <xf numFmtId="0" fontId="12" fillId="7" borderId="1" xfId="0" applyFont="1" applyFill="1" applyBorder="1" applyAlignment="1">
      <alignment horizontal="center" vertical="center"/>
    </xf>
    <xf numFmtId="10" fontId="12" fillId="7" borderId="1" xfId="0" applyNumberFormat="1" applyFont="1" applyFill="1" applyBorder="1" applyAlignment="1">
      <alignment horizontal="center" vertical="center"/>
    </xf>
    <xf numFmtId="43" fontId="12" fillId="7" borderId="1" xfId="1" applyFont="1" applyFill="1" applyBorder="1" applyAlignment="1">
      <alignment horizontal="center" vertical="center"/>
    </xf>
    <xf numFmtId="0" fontId="7" fillId="7" borderId="1" xfId="0" applyFont="1" applyFill="1" applyBorder="1" applyAlignment="1">
      <alignment horizontal="justify" vertical="center" wrapText="1"/>
    </xf>
    <xf numFmtId="1" fontId="12" fillId="7" borderId="1" xfId="0" applyNumberFormat="1" applyFont="1" applyFill="1" applyBorder="1" applyAlignment="1">
      <alignment horizontal="center" vertical="center"/>
    </xf>
    <xf numFmtId="166" fontId="12" fillId="0" borderId="1" xfId="0" applyNumberFormat="1" applyFont="1" applyBorder="1" applyAlignment="1">
      <alignment horizontal="right" vertical="center"/>
    </xf>
    <xf numFmtId="166" fontId="12" fillId="0" borderId="1" xfId="0" applyNumberFormat="1" applyFont="1" applyBorder="1" applyAlignment="1">
      <alignment horizontal="center" vertical="center"/>
    </xf>
    <xf numFmtId="0" fontId="12" fillId="0" borderId="1" xfId="0" applyFont="1" applyBorder="1" applyAlignment="1">
      <alignment horizontal="justify" vertical="center"/>
    </xf>
    <xf numFmtId="1" fontId="13" fillId="0" borderId="0" xfId="0" applyNumberFormat="1" applyFont="1" applyAlignment="1">
      <alignment vertical="center"/>
    </xf>
    <xf numFmtId="0" fontId="13" fillId="7" borderId="0" xfId="0" applyFont="1" applyFill="1" applyAlignment="1">
      <alignment horizontal="justify" vertical="center"/>
    </xf>
    <xf numFmtId="0" fontId="20" fillId="7" borderId="0" xfId="0" applyFont="1" applyFill="1" applyAlignment="1">
      <alignment vertical="center" wrapText="1"/>
    </xf>
    <xf numFmtId="10" fontId="13" fillId="7" borderId="0" xfId="0" applyNumberFormat="1" applyFont="1" applyFill="1" applyAlignment="1">
      <alignment horizontal="center" vertical="center"/>
    </xf>
    <xf numFmtId="165" fontId="13" fillId="7" borderId="0" xfId="0" applyNumberFormat="1" applyFont="1" applyFill="1" applyAlignment="1">
      <alignment vertical="center"/>
    </xf>
    <xf numFmtId="1" fontId="13" fillId="7" borderId="0" xfId="0" applyNumberFormat="1" applyFont="1" applyFill="1" applyAlignment="1">
      <alignment horizontal="center" vertical="center"/>
    </xf>
    <xf numFmtId="166" fontId="13" fillId="0" borderId="0" xfId="0" applyNumberFormat="1" applyFont="1" applyAlignment="1">
      <alignment horizontal="right" vertical="center"/>
    </xf>
    <xf numFmtId="166" fontId="13" fillId="0" borderId="0" xfId="0" applyNumberFormat="1" applyFont="1" applyAlignment="1">
      <alignment horizontal="center" vertical="center"/>
    </xf>
    <xf numFmtId="0" fontId="13" fillId="0" borderId="0" xfId="0" applyFont="1" applyAlignment="1">
      <alignment horizontal="justify" vertical="center"/>
    </xf>
    <xf numFmtId="165" fontId="13" fillId="7" borderId="0" xfId="0" applyNumberFormat="1" applyFont="1" applyFill="1" applyAlignment="1">
      <alignment horizontal="center" vertical="center"/>
    </xf>
    <xf numFmtId="0" fontId="8" fillId="7" borderId="0" xfId="0" applyFont="1" applyFill="1" applyAlignment="1">
      <alignment vertical="center" wrapText="1"/>
    </xf>
    <xf numFmtId="3" fontId="21" fillId="0" borderId="0" xfId="7" applyNumberFormat="1" applyFont="1" applyAlignment="1">
      <alignment horizontal="center" vertical="center"/>
    </xf>
    <xf numFmtId="3" fontId="21" fillId="0" borderId="0" xfId="0" applyNumberFormat="1" applyFont="1" applyAlignment="1">
      <alignment horizontal="center" vertical="center"/>
    </xf>
    <xf numFmtId="167" fontId="21" fillId="0" borderId="0" xfId="7" applyNumberFormat="1" applyFont="1" applyAlignment="1">
      <alignment horizontal="center" vertical="center"/>
    </xf>
    <xf numFmtId="0" fontId="22" fillId="0" borderId="26" xfId="0" applyFont="1" applyBorder="1" applyAlignment="1">
      <alignment vertical="center" wrapText="1"/>
    </xf>
    <xf numFmtId="0" fontId="23" fillId="0" borderId="23" xfId="0" applyFont="1" applyBorder="1"/>
    <xf numFmtId="0" fontId="23" fillId="0" borderId="27" xfId="0" applyFont="1" applyBorder="1"/>
    <xf numFmtId="0" fontId="8" fillId="0" borderId="0" xfId="0" applyFont="1"/>
    <xf numFmtId="0" fontId="22" fillId="0" borderId="0" xfId="0" applyFont="1" applyAlignment="1">
      <alignment vertical="center" wrapText="1"/>
    </xf>
    <xf numFmtId="0" fontId="23" fillId="0" borderId="1" xfId="0" applyFont="1" applyBorder="1" applyAlignment="1">
      <alignment horizontal="left"/>
    </xf>
    <xf numFmtId="168" fontId="23" fillId="0" borderId="17" xfId="0" applyNumberFormat="1" applyFont="1" applyBorder="1" applyAlignment="1">
      <alignment horizontal="left"/>
    </xf>
    <xf numFmtId="0" fontId="23" fillId="0" borderId="1" xfId="0" applyFont="1" applyBorder="1"/>
    <xf numFmtId="17" fontId="23" fillId="0" borderId="17" xfId="0" applyNumberFormat="1" applyFont="1" applyBorder="1" applyAlignment="1">
      <alignment horizontal="left"/>
    </xf>
    <xf numFmtId="0" fontId="22" fillId="0" borderId="2" xfId="0" applyFont="1" applyBorder="1" applyAlignment="1">
      <alignment vertical="center" wrapText="1"/>
    </xf>
    <xf numFmtId="0" fontId="23" fillId="0" borderId="1" xfId="0" applyFont="1" applyBorder="1" applyAlignment="1">
      <alignment vertical="center"/>
    </xf>
    <xf numFmtId="3" fontId="23" fillId="5" borderId="17" xfId="0" applyNumberFormat="1" applyFont="1" applyFill="1" applyBorder="1" applyAlignment="1">
      <alignment horizontal="left" vertical="center" wrapText="1"/>
    </xf>
    <xf numFmtId="0" fontId="8" fillId="0" borderId="0" xfId="0" applyFont="1" applyAlignment="1">
      <alignment wrapText="1"/>
    </xf>
    <xf numFmtId="0" fontId="7" fillId="0" borderId="10" xfId="0" applyFont="1" applyBorder="1" applyAlignment="1">
      <alignment horizontal="center" vertical="center"/>
    </xf>
    <xf numFmtId="0" fontId="7" fillId="0" borderId="0" xfId="0" applyFont="1" applyAlignment="1">
      <alignment horizontal="center" vertical="center"/>
    </xf>
    <xf numFmtId="3" fontId="23" fillId="14" borderId="1" xfId="0" applyNumberFormat="1" applyFont="1" applyFill="1" applyBorder="1" applyAlignment="1">
      <alignment horizontal="center" vertical="center" textRotation="90" wrapText="1"/>
    </xf>
    <xf numFmtId="3" fontId="23" fillId="14" borderId="10" xfId="0" applyNumberFormat="1" applyFont="1" applyFill="1" applyBorder="1" applyAlignment="1">
      <alignment horizontal="center" vertical="center" textRotation="90" wrapText="1"/>
    </xf>
    <xf numFmtId="0" fontId="23" fillId="14" borderId="9" xfId="0" applyFont="1" applyFill="1" applyBorder="1" applyAlignment="1">
      <alignment horizontal="center" vertical="center" textRotation="90" wrapText="1"/>
    </xf>
    <xf numFmtId="0" fontId="23" fillId="14" borderId="9" xfId="0" applyFont="1" applyFill="1" applyBorder="1" applyAlignment="1">
      <alignment horizontal="center" vertical="center" textRotation="90"/>
    </xf>
    <xf numFmtId="0" fontId="23" fillId="14" borderId="1" xfId="0" applyFont="1" applyFill="1" applyBorder="1" applyAlignment="1">
      <alignment horizontal="center" vertical="center" textRotation="90"/>
    </xf>
    <xf numFmtId="0" fontId="7" fillId="10" borderId="32" xfId="0" applyFont="1" applyFill="1" applyBorder="1" applyAlignment="1">
      <alignment horizontal="center" vertical="center" wrapText="1"/>
    </xf>
    <xf numFmtId="0" fontId="7" fillId="10" borderId="9" xfId="0" applyFont="1" applyFill="1" applyBorder="1" applyAlignment="1">
      <alignment vertical="center" wrapText="1"/>
    </xf>
    <xf numFmtId="0" fontId="7" fillId="10" borderId="10" xfId="0" applyFont="1" applyFill="1" applyBorder="1" applyAlignment="1">
      <alignment vertical="center" wrapText="1"/>
    </xf>
    <xf numFmtId="0" fontId="7" fillId="10" borderId="3" xfId="0" applyFont="1" applyFill="1" applyBorder="1" applyAlignment="1">
      <alignment vertical="center" wrapText="1"/>
    </xf>
    <xf numFmtId="0" fontId="7" fillId="10" borderId="10" xfId="0" applyFont="1" applyFill="1" applyBorder="1" applyAlignment="1">
      <alignment horizontal="justify" vertical="center" wrapText="1"/>
    </xf>
    <xf numFmtId="0" fontId="7" fillId="10" borderId="10" xfId="0" applyFont="1" applyFill="1" applyBorder="1" applyAlignment="1">
      <alignment horizontal="center" vertical="center" wrapText="1"/>
    </xf>
    <xf numFmtId="2" fontId="7" fillId="10" borderId="10" xfId="0" applyNumberFormat="1" applyFont="1" applyFill="1" applyBorder="1" applyAlignment="1">
      <alignment horizontal="right" vertical="center" wrapText="1"/>
    </xf>
    <xf numFmtId="41" fontId="7" fillId="10" borderId="10" xfId="8" applyNumberFormat="1" applyFont="1" applyFill="1" applyBorder="1" applyAlignment="1">
      <alignment horizontal="right" vertical="center" wrapText="1"/>
    </xf>
    <xf numFmtId="1" fontId="7" fillId="10" borderId="10" xfId="0" applyNumberFormat="1" applyFont="1" applyFill="1" applyBorder="1" applyAlignment="1">
      <alignment horizontal="center" vertical="center" wrapText="1"/>
    </xf>
    <xf numFmtId="0" fontId="7" fillId="0" borderId="0" xfId="0" applyFont="1"/>
    <xf numFmtId="0" fontId="7" fillId="7" borderId="32"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6" xfId="0" applyFont="1" applyFill="1" applyBorder="1"/>
    <xf numFmtId="0" fontId="7" fillId="15" borderId="6" xfId="0" applyFont="1" applyFill="1" applyBorder="1" applyAlignment="1">
      <alignment horizontal="center" vertical="center" wrapText="1"/>
    </xf>
    <xf numFmtId="0" fontId="7" fillId="15" borderId="10" xfId="0" applyFont="1" applyFill="1" applyBorder="1" applyAlignment="1">
      <alignment horizontal="justify" vertical="center" wrapText="1"/>
    </xf>
    <xf numFmtId="0" fontId="7" fillId="15" borderId="10" xfId="0" applyFont="1" applyFill="1" applyBorder="1" applyAlignment="1">
      <alignment vertical="center" wrapText="1"/>
    </xf>
    <xf numFmtId="0" fontId="7" fillId="15" borderId="10" xfId="0" applyFont="1" applyFill="1" applyBorder="1" applyAlignment="1">
      <alignment horizontal="center" vertical="center" wrapText="1"/>
    </xf>
    <xf numFmtId="2" fontId="7" fillId="15" borderId="10" xfId="0" applyNumberFormat="1" applyFont="1" applyFill="1" applyBorder="1" applyAlignment="1">
      <alignment horizontal="right" vertical="center" wrapText="1"/>
    </xf>
    <xf numFmtId="41" fontId="7" fillId="15" borderId="10" xfId="8" applyNumberFormat="1" applyFont="1" applyFill="1" applyBorder="1" applyAlignment="1">
      <alignment horizontal="right" vertical="center" wrapText="1"/>
    </xf>
    <xf numFmtId="1" fontId="7" fillId="15" borderId="10" xfId="0" applyNumberFormat="1" applyFont="1" applyFill="1" applyBorder="1" applyAlignment="1">
      <alignment horizontal="center" vertical="center" wrapText="1"/>
    </xf>
    <xf numFmtId="0" fontId="8" fillId="7" borderId="33" xfId="0" applyFont="1" applyFill="1" applyBorder="1" applyAlignment="1">
      <alignment horizontal="center" vertical="center" wrapText="1"/>
    </xf>
    <xf numFmtId="0" fontId="8" fillId="7" borderId="0" xfId="0" applyFont="1" applyFill="1" applyAlignment="1">
      <alignment horizontal="center" vertical="center" wrapText="1"/>
    </xf>
    <xf numFmtId="0" fontId="8" fillId="7" borderId="11"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7" borderId="3" xfId="0" applyFont="1" applyFill="1" applyBorder="1"/>
    <xf numFmtId="0" fontId="8" fillId="7" borderId="6" xfId="0" applyFont="1" applyFill="1" applyBorder="1"/>
    <xf numFmtId="0" fontId="7" fillId="12" borderId="1" xfId="0" applyFont="1" applyFill="1" applyBorder="1" applyAlignment="1">
      <alignment horizontal="center" vertical="center" wrapText="1"/>
    </xf>
    <xf numFmtId="0" fontId="8" fillId="12" borderId="10" xfId="0" applyFont="1" applyFill="1" applyBorder="1" applyAlignment="1">
      <alignment horizontal="justify" vertical="center" wrapText="1"/>
    </xf>
    <xf numFmtId="0" fontId="8" fillId="12" borderId="10" xfId="0" applyFont="1" applyFill="1" applyBorder="1" applyAlignment="1">
      <alignment vertical="center" wrapText="1"/>
    </xf>
    <xf numFmtId="0" fontId="8" fillId="12" borderId="10" xfId="0" applyFont="1" applyFill="1" applyBorder="1" applyAlignment="1">
      <alignment horizontal="center" vertical="center" wrapText="1"/>
    </xf>
    <xf numFmtId="2" fontId="8" fillId="12" borderId="10" xfId="0" applyNumberFormat="1" applyFont="1" applyFill="1" applyBorder="1" applyAlignment="1">
      <alignment horizontal="right" vertical="center" wrapText="1"/>
    </xf>
    <xf numFmtId="41" fontId="8" fillId="12" borderId="10" xfId="8" applyNumberFormat="1" applyFont="1" applyFill="1" applyBorder="1" applyAlignment="1">
      <alignment horizontal="right" vertical="center" wrapText="1"/>
    </xf>
    <xf numFmtId="1" fontId="8" fillId="12" borderId="10" xfId="0" applyNumberFormat="1" applyFont="1" applyFill="1" applyBorder="1" applyAlignment="1">
      <alignment horizontal="center" vertical="center" wrapText="1"/>
    </xf>
    <xf numFmtId="0" fontId="24" fillId="7" borderId="33" xfId="0" applyFont="1" applyFill="1" applyBorder="1" applyAlignment="1">
      <alignment vertical="center" wrapText="1"/>
    </xf>
    <xf numFmtId="0" fontId="24" fillId="7" borderId="0" xfId="0" applyFont="1" applyFill="1" applyAlignment="1">
      <alignment vertical="center" textRotation="90" wrapText="1"/>
    </xf>
    <xf numFmtId="0" fontId="24" fillId="7" borderId="11" xfId="0" applyFont="1" applyFill="1" applyBorder="1" applyAlignment="1">
      <alignment vertical="center" textRotation="90" wrapText="1"/>
    </xf>
    <xf numFmtId="0" fontId="24" fillId="7" borderId="13" xfId="0" applyFont="1" applyFill="1" applyBorder="1" applyAlignment="1">
      <alignment vertical="center" wrapText="1"/>
    </xf>
    <xf numFmtId="41" fontId="24" fillId="7" borderId="1" xfId="9" applyNumberFormat="1" applyFont="1" applyFill="1" applyBorder="1" applyAlignment="1">
      <alignment vertical="center" wrapText="1"/>
    </xf>
    <xf numFmtId="1" fontId="24" fillId="7" borderId="1" xfId="10" applyNumberFormat="1" applyFont="1" applyFill="1" applyBorder="1" applyAlignment="1">
      <alignment horizontal="center" vertical="center" wrapText="1"/>
    </xf>
    <xf numFmtId="0" fontId="24" fillId="7" borderId="1" xfId="0" applyFont="1" applyFill="1" applyBorder="1" applyAlignment="1">
      <alignment vertical="center" wrapText="1"/>
    </xf>
    <xf numFmtId="0" fontId="24" fillId="7" borderId="0" xfId="0" applyFont="1" applyFill="1"/>
    <xf numFmtId="0" fontId="24" fillId="7" borderId="7" xfId="0" applyFont="1" applyFill="1" applyBorder="1" applyAlignment="1">
      <alignment horizontal="justify" vertical="center" wrapText="1"/>
    </xf>
    <xf numFmtId="41" fontId="24" fillId="7" borderId="8" xfId="9" applyNumberFormat="1" applyFont="1" applyFill="1" applyBorder="1" applyAlignment="1">
      <alignment horizontal="right" vertical="center" wrapText="1"/>
    </xf>
    <xf numFmtId="1" fontId="24" fillId="7" borderId="1" xfId="0" applyNumberFormat="1" applyFont="1" applyFill="1" applyBorder="1" applyAlignment="1">
      <alignment horizontal="center" vertical="center" wrapText="1"/>
    </xf>
    <xf numFmtId="0" fontId="24" fillId="7" borderId="8" xfId="0" applyFont="1" applyFill="1" applyBorder="1" applyAlignment="1">
      <alignment horizontal="center" vertical="center" wrapText="1"/>
    </xf>
    <xf numFmtId="41" fontId="24" fillId="7" borderId="1" xfId="9" applyNumberFormat="1" applyFont="1" applyFill="1" applyBorder="1" applyAlignment="1">
      <alignment horizontal="right" vertical="center" wrapText="1"/>
    </xf>
    <xf numFmtId="0" fontId="24" fillId="7" borderId="13" xfId="0" applyFont="1" applyFill="1" applyBorder="1" applyAlignment="1">
      <alignment horizontal="center" vertical="center" wrapText="1"/>
    </xf>
    <xf numFmtId="0" fontId="24" fillId="0" borderId="4" xfId="0" applyFont="1" applyBorder="1" applyAlignment="1">
      <alignment horizontal="justify" vertical="center" wrapText="1"/>
    </xf>
    <xf numFmtId="0" fontId="24" fillId="0" borderId="7" xfId="0" applyFont="1" applyBorder="1" applyAlignment="1">
      <alignment horizontal="justify" vertical="center" wrapText="1"/>
    </xf>
    <xf numFmtId="0" fontId="24" fillId="0" borderId="9" xfId="0" applyFont="1" applyBorder="1" applyAlignment="1">
      <alignment horizontal="justify" vertical="center" wrapText="1"/>
    </xf>
    <xf numFmtId="0" fontId="24" fillId="7" borderId="13" xfId="0" applyFont="1" applyFill="1" applyBorder="1" applyAlignment="1">
      <alignment horizontal="justify" vertical="center" wrapText="1"/>
    </xf>
    <xf numFmtId="0" fontId="24" fillId="7" borderId="1" xfId="0" applyFont="1" applyFill="1" applyBorder="1" applyAlignment="1">
      <alignment horizontal="justify" vertical="center" wrapText="1"/>
    </xf>
    <xf numFmtId="0" fontId="24" fillId="7" borderId="1" xfId="0" applyFont="1" applyFill="1" applyBorder="1" applyAlignment="1">
      <alignment horizontal="left" vertical="center" wrapText="1"/>
    </xf>
    <xf numFmtId="0" fontId="24" fillId="7" borderId="14" xfId="0" applyFont="1" applyFill="1" applyBorder="1" applyAlignment="1">
      <alignment vertical="center" wrapText="1"/>
    </xf>
    <xf numFmtId="0" fontId="25" fillId="12" borderId="1" xfId="0" applyFont="1" applyFill="1" applyBorder="1" applyAlignment="1">
      <alignment horizontal="center" vertical="center" wrapText="1"/>
    </xf>
    <xf numFmtId="0" fontId="24" fillId="12" borderId="10" xfId="0" applyFont="1" applyFill="1" applyBorder="1" applyAlignment="1">
      <alignment horizontal="justify" vertical="center" wrapText="1"/>
    </xf>
    <xf numFmtId="0" fontId="24" fillId="12" borderId="10" xfId="0" applyFont="1" applyFill="1" applyBorder="1" applyAlignment="1">
      <alignment vertical="center" wrapText="1"/>
    </xf>
    <xf numFmtId="0" fontId="24" fillId="12" borderId="10" xfId="0" applyFont="1" applyFill="1" applyBorder="1" applyAlignment="1">
      <alignment horizontal="center" vertical="center" wrapText="1"/>
    </xf>
    <xf numFmtId="43" fontId="24" fillId="12" borderId="10" xfId="9" applyFont="1" applyFill="1" applyBorder="1" applyAlignment="1">
      <alignment vertical="center" wrapText="1"/>
    </xf>
    <xf numFmtId="1" fontId="24" fillId="12" borderId="10" xfId="0" applyNumberFormat="1" applyFont="1" applyFill="1" applyBorder="1" applyAlignment="1">
      <alignment horizontal="center" vertical="center" wrapText="1"/>
    </xf>
    <xf numFmtId="0" fontId="24" fillId="12" borderId="31" xfId="0" applyFont="1" applyFill="1" applyBorder="1" applyAlignment="1">
      <alignment vertical="center" wrapText="1"/>
    </xf>
    <xf numFmtId="0" fontId="24" fillId="0" borderId="0" xfId="0" applyFont="1"/>
    <xf numFmtId="0" fontId="24" fillId="7" borderId="11" xfId="0" applyFont="1" applyFill="1" applyBorder="1" applyAlignment="1">
      <alignment vertical="center" wrapText="1"/>
    </xf>
    <xf numFmtId="4" fontId="24" fillId="7" borderId="1" xfId="0" applyNumberFormat="1" applyFont="1" applyFill="1" applyBorder="1" applyAlignment="1">
      <alignment horizontal="right" vertical="center" wrapText="1"/>
    </xf>
    <xf numFmtId="0" fontId="24" fillId="7" borderId="1" xfId="0" applyFont="1" applyFill="1" applyBorder="1" applyAlignment="1">
      <alignment horizontal="center" vertical="center" wrapText="1"/>
    </xf>
    <xf numFmtId="0" fontId="24" fillId="7" borderId="9" xfId="0" applyFont="1" applyFill="1" applyBorder="1" applyAlignment="1">
      <alignment horizontal="justify" vertical="center" wrapText="1"/>
    </xf>
    <xf numFmtId="4" fontId="24" fillId="0" borderId="1" xfId="0" applyNumberFormat="1" applyFont="1" applyBorder="1" applyAlignment="1">
      <alignment horizontal="right" vertical="center" wrapText="1"/>
    </xf>
    <xf numFmtId="0" fontId="25" fillId="7" borderId="32"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25" fillId="7" borderId="6" xfId="0" applyFont="1" applyFill="1" applyBorder="1"/>
    <xf numFmtId="0" fontId="25" fillId="15" borderId="6" xfId="0" applyFont="1" applyFill="1" applyBorder="1" applyAlignment="1">
      <alignment horizontal="center" vertical="center" wrapText="1"/>
    </xf>
    <xf numFmtId="0" fontId="25" fillId="15" borderId="10" xfId="0" applyFont="1" applyFill="1" applyBorder="1" applyAlignment="1">
      <alignment horizontal="justify" vertical="center" wrapText="1"/>
    </xf>
    <xf numFmtId="0" fontId="25" fillId="15" borderId="10" xfId="0" applyFont="1" applyFill="1" applyBorder="1" applyAlignment="1">
      <alignment vertical="center" wrapText="1"/>
    </xf>
    <xf numFmtId="0" fontId="25" fillId="15" borderId="10" xfId="0" applyFont="1" applyFill="1" applyBorder="1" applyAlignment="1">
      <alignment horizontal="center" vertical="center" wrapText="1"/>
    </xf>
    <xf numFmtId="43" fontId="25" fillId="15" borderId="10" xfId="9" applyFont="1" applyFill="1" applyBorder="1" applyAlignment="1">
      <alignment vertical="center" wrapText="1"/>
    </xf>
    <xf numFmtId="41" fontId="25" fillId="15" borderId="1" xfId="9" applyNumberFormat="1" applyFont="1" applyFill="1" applyBorder="1" applyAlignment="1">
      <alignment horizontal="right" vertical="center" wrapText="1"/>
    </xf>
    <xf numFmtId="1" fontId="25" fillId="15" borderId="10" xfId="0" applyNumberFormat="1" applyFont="1" applyFill="1" applyBorder="1" applyAlignment="1">
      <alignment horizontal="center" vertical="center" wrapText="1"/>
    </xf>
    <xf numFmtId="0" fontId="25" fillId="15" borderId="31" xfId="0" applyFont="1" applyFill="1" applyBorder="1" applyAlignment="1">
      <alignment vertical="center" wrapText="1"/>
    </xf>
    <xf numFmtId="0" fontId="25" fillId="0" borderId="0" xfId="0" applyFont="1"/>
    <xf numFmtId="0" fontId="25" fillId="7" borderId="33" xfId="0" applyFont="1" applyFill="1" applyBorder="1" applyAlignment="1">
      <alignment horizontal="center" vertical="center" wrapText="1"/>
    </xf>
    <xf numFmtId="0" fontId="25" fillId="7" borderId="0" xfId="0" applyFont="1" applyFill="1" applyAlignment="1">
      <alignment horizontal="center" vertical="center" wrapText="1"/>
    </xf>
    <xf numFmtId="0" fontId="25" fillId="7" borderId="8" xfId="0" applyFont="1" applyFill="1" applyBorder="1" applyAlignment="1">
      <alignment horizontal="center" vertical="center" wrapText="1"/>
    </xf>
    <xf numFmtId="0" fontId="25" fillId="7" borderId="3" xfId="0" applyFont="1" applyFill="1" applyBorder="1"/>
    <xf numFmtId="0" fontId="25" fillId="12" borderId="10" xfId="0" applyFont="1" applyFill="1" applyBorder="1" applyAlignment="1">
      <alignment vertical="center" wrapText="1"/>
    </xf>
    <xf numFmtId="0" fontId="25" fillId="12" borderId="10" xfId="0" applyFont="1" applyFill="1" applyBorder="1" applyAlignment="1">
      <alignment horizontal="center" vertical="center" wrapText="1"/>
    </xf>
    <xf numFmtId="0" fontId="25" fillId="12" borderId="10" xfId="0" applyFont="1" applyFill="1" applyBorder="1" applyAlignment="1">
      <alignment horizontal="justify" vertical="center" wrapText="1"/>
    </xf>
    <xf numFmtId="43" fontId="25" fillId="12" borderId="10" xfId="9" applyFont="1" applyFill="1" applyBorder="1" applyAlignment="1">
      <alignment vertical="center" wrapText="1"/>
    </xf>
    <xf numFmtId="41" fontId="25" fillId="12" borderId="1" xfId="9" applyNumberFormat="1" applyFont="1" applyFill="1" applyBorder="1" applyAlignment="1">
      <alignment horizontal="right" vertical="center" wrapText="1"/>
    </xf>
    <xf numFmtId="1" fontId="25" fillId="12" borderId="10" xfId="0" applyNumberFormat="1" applyFont="1" applyFill="1" applyBorder="1" applyAlignment="1">
      <alignment horizontal="center" vertical="center" wrapText="1"/>
    </xf>
    <xf numFmtId="0" fontId="25" fillId="12" borderId="31" xfId="0" applyFont="1" applyFill="1" applyBorder="1" applyAlignment="1">
      <alignment vertical="center" wrapText="1"/>
    </xf>
    <xf numFmtId="41" fontId="24" fillId="7" borderId="1" xfId="0" applyNumberFormat="1" applyFont="1" applyFill="1" applyBorder="1" applyAlignment="1">
      <alignment horizontal="right" vertical="center" wrapText="1"/>
    </xf>
    <xf numFmtId="3" fontId="24" fillId="7" borderId="8" xfId="0" applyNumberFormat="1" applyFont="1" applyFill="1" applyBorder="1" applyAlignment="1">
      <alignment horizontal="center" vertical="center" wrapText="1"/>
    </xf>
    <xf numFmtId="41" fontId="24" fillId="7" borderId="8" xfId="0" applyNumberFormat="1" applyFont="1" applyFill="1" applyBorder="1" applyAlignment="1">
      <alignment horizontal="right" vertical="center" wrapText="1"/>
    </xf>
    <xf numFmtId="1" fontId="24" fillId="7" borderId="8" xfId="0" applyNumberFormat="1" applyFont="1" applyFill="1" applyBorder="1" applyAlignment="1">
      <alignment horizontal="center" vertical="center" wrapText="1"/>
    </xf>
    <xf numFmtId="0" fontId="24" fillId="7" borderId="8" xfId="0" applyFont="1" applyFill="1" applyBorder="1" applyAlignment="1">
      <alignment vertical="center" wrapText="1"/>
    </xf>
    <xf numFmtId="3" fontId="24" fillId="7" borderId="13" xfId="0" applyNumberFormat="1" applyFont="1" applyFill="1" applyBorder="1" applyAlignment="1">
      <alignment horizontal="center" vertical="center" wrapText="1"/>
    </xf>
    <xf numFmtId="41" fontId="24" fillId="0" borderId="36" xfId="0" applyNumberFormat="1" applyFont="1" applyBorder="1" applyAlignment="1">
      <alignment horizontal="right" vertical="center"/>
    </xf>
    <xf numFmtId="0" fontId="24" fillId="0" borderId="37" xfId="0" applyFont="1" applyBorder="1" applyAlignment="1">
      <alignment horizontal="center" vertical="center"/>
    </xf>
    <xf numFmtId="41" fontId="24" fillId="0" borderId="37" xfId="0" applyNumberFormat="1" applyFont="1" applyBorder="1" applyAlignment="1">
      <alignment horizontal="right" vertical="center" wrapText="1"/>
    </xf>
    <xf numFmtId="1" fontId="24" fillId="7" borderId="5" xfId="0" applyNumberFormat="1" applyFont="1" applyFill="1" applyBorder="1" applyAlignment="1">
      <alignment horizontal="center" vertical="center" wrapText="1"/>
    </xf>
    <xf numFmtId="41" fontId="24" fillId="0" borderId="13" xfId="0" applyNumberFormat="1" applyFont="1" applyBorder="1" applyAlignment="1">
      <alignment horizontal="right" vertical="center" wrapText="1"/>
    </xf>
    <xf numFmtId="41" fontId="24" fillId="0" borderId="8" xfId="0" applyNumberFormat="1" applyFont="1" applyBorder="1" applyAlignment="1">
      <alignment horizontal="right" vertical="center" wrapText="1"/>
    </xf>
    <xf numFmtId="3" fontId="24" fillId="7" borderId="14" xfId="0" applyNumberFormat="1" applyFont="1" applyFill="1" applyBorder="1" applyAlignment="1">
      <alignment horizontal="center" vertical="center" wrapText="1"/>
    </xf>
    <xf numFmtId="0" fontId="24" fillId="7" borderId="33" xfId="0" applyFont="1" applyFill="1" applyBorder="1" applyAlignment="1">
      <alignment horizontal="center" vertical="center" wrapText="1"/>
    </xf>
    <xf numFmtId="0" fontId="24" fillId="7" borderId="0" xfId="0" applyFont="1" applyFill="1" applyAlignment="1">
      <alignment horizontal="center" vertical="center" wrapText="1"/>
    </xf>
    <xf numFmtId="41" fontId="24" fillId="12" borderId="1" xfId="9" applyNumberFormat="1" applyFont="1" applyFill="1" applyBorder="1" applyAlignment="1">
      <alignment horizontal="right" vertical="center" wrapText="1"/>
    </xf>
    <xf numFmtId="0" fontId="24" fillId="7" borderId="12" xfId="0" applyFont="1" applyFill="1" applyBorder="1" applyAlignment="1">
      <alignment horizontal="justify" vertical="center" wrapText="1"/>
    </xf>
    <xf numFmtId="41" fontId="24" fillId="7" borderId="12" xfId="9" applyNumberFormat="1" applyFont="1" applyFill="1" applyBorder="1" applyAlignment="1">
      <alignment horizontal="right" vertical="center" wrapText="1"/>
    </xf>
    <xf numFmtId="0" fontId="24" fillId="0" borderId="8" xfId="0" applyFont="1" applyBorder="1" applyAlignment="1">
      <alignment horizontal="center" vertical="center"/>
    </xf>
    <xf numFmtId="0" fontId="24" fillId="0" borderId="19" xfId="0" applyFont="1" applyBorder="1" applyAlignment="1">
      <alignment horizontal="center" vertical="center" wrapText="1"/>
    </xf>
    <xf numFmtId="0" fontId="24" fillId="0" borderId="20" xfId="0" applyFont="1" applyBorder="1" applyAlignment="1">
      <alignment horizontal="center" vertical="center" wrapText="1"/>
    </xf>
    <xf numFmtId="170" fontId="24" fillId="0" borderId="20" xfId="0" applyNumberFormat="1" applyFont="1" applyBorder="1" applyAlignment="1">
      <alignment horizontal="center" vertical="center" wrapText="1"/>
    </xf>
    <xf numFmtId="0" fontId="24" fillId="0" borderId="20" xfId="0" applyFont="1" applyBorder="1" applyAlignment="1">
      <alignment horizontal="justify" vertical="center" wrapText="1"/>
    </xf>
    <xf numFmtId="0" fontId="25" fillId="0" borderId="20" xfId="0" applyFont="1" applyBorder="1" applyAlignment="1">
      <alignment horizontal="justify" vertical="center" wrapText="1"/>
    </xf>
    <xf numFmtId="10" fontId="24" fillId="0" borderId="20" xfId="0" applyNumberFormat="1" applyFont="1" applyBorder="1" applyAlignment="1">
      <alignment horizontal="center" vertical="center" wrapText="1"/>
    </xf>
    <xf numFmtId="43" fontId="25" fillId="0" borderId="22" xfId="9" applyFont="1" applyBorder="1" applyAlignment="1">
      <alignment horizontal="right" vertical="center" wrapText="1"/>
    </xf>
    <xf numFmtId="41" fontId="25" fillId="0" borderId="22" xfId="9" applyNumberFormat="1" applyFont="1" applyBorder="1" applyAlignment="1">
      <alignment horizontal="right" vertical="center" wrapText="1"/>
    </xf>
    <xf numFmtId="1" fontId="24" fillId="0" borderId="19" xfId="0" applyNumberFormat="1" applyFont="1" applyBorder="1" applyAlignment="1">
      <alignment horizontal="center" vertical="center" wrapText="1"/>
    </xf>
    <xf numFmtId="0" fontId="24" fillId="0" borderId="21" xfId="0" applyFont="1" applyBorder="1" applyAlignment="1">
      <alignment horizontal="center" vertical="center" wrapText="1"/>
    </xf>
    <xf numFmtId="0" fontId="24" fillId="0" borderId="20" xfId="0" applyFont="1" applyBorder="1" applyAlignment="1">
      <alignment horizontal="center" vertical="center" textRotation="180" wrapText="1"/>
    </xf>
    <xf numFmtId="49" fontId="24" fillId="0" borderId="20" xfId="0" applyNumberFormat="1" applyFont="1" applyBorder="1" applyAlignment="1">
      <alignment horizontal="center" vertical="center" textRotation="180" wrapText="1"/>
    </xf>
    <xf numFmtId="0" fontId="24" fillId="0" borderId="20" xfId="0" applyFont="1" applyBorder="1" applyAlignment="1">
      <alignment vertical="center"/>
    </xf>
    <xf numFmtId="0" fontId="24" fillId="0" borderId="21" xfId="0" applyFont="1" applyBorder="1"/>
    <xf numFmtId="0" fontId="8" fillId="7" borderId="0" xfId="0" applyFont="1" applyFill="1" applyAlignment="1">
      <alignment horizontal="justify" vertical="center" wrapText="1"/>
    </xf>
    <xf numFmtId="0" fontId="8" fillId="7" borderId="0" xfId="0" applyFont="1" applyFill="1"/>
    <xf numFmtId="0" fontId="8" fillId="7" borderId="0" xfId="0" applyFont="1" applyFill="1" applyAlignment="1">
      <alignment horizontal="center" vertical="center"/>
    </xf>
    <xf numFmtId="2" fontId="8" fillId="7" borderId="0" xfId="0" applyNumberFormat="1" applyFont="1" applyFill="1" applyAlignment="1">
      <alignment horizontal="right"/>
    </xf>
    <xf numFmtId="41" fontId="8" fillId="7" borderId="0" xfId="0" applyNumberFormat="1" applyFont="1" applyFill="1" applyAlignment="1">
      <alignment horizontal="right" vertical="center"/>
    </xf>
    <xf numFmtId="1" fontId="8" fillId="7" borderId="0" xfId="0" applyNumberFormat="1" applyFont="1" applyFill="1" applyAlignment="1">
      <alignment horizontal="center" vertical="center"/>
    </xf>
    <xf numFmtId="0" fontId="8" fillId="7" borderId="0" xfId="0" applyFont="1" applyFill="1" applyAlignment="1">
      <alignment horizontal="justify" vertical="center"/>
    </xf>
    <xf numFmtId="0" fontId="8" fillId="0" borderId="0" xfId="0" applyFont="1" applyAlignment="1">
      <alignment vertical="center"/>
    </xf>
    <xf numFmtId="0" fontId="8" fillId="7" borderId="0" xfId="0" applyFont="1" applyFill="1" applyAlignment="1">
      <alignment horizontal="center"/>
    </xf>
    <xf numFmtId="2" fontId="8" fillId="7" borderId="0" xfId="0" applyNumberFormat="1" applyFont="1" applyFill="1" applyAlignment="1">
      <alignment horizontal="right" vertical="center"/>
    </xf>
    <xf numFmtId="165" fontId="8" fillId="7" borderId="0" xfId="0" applyNumberFormat="1" applyFont="1" applyFill="1" applyAlignment="1">
      <alignment horizontal="justify" vertical="center" wrapText="1"/>
    </xf>
    <xf numFmtId="165" fontId="8" fillId="7" borderId="0" xfId="0" applyNumberFormat="1" applyFont="1" applyFill="1" applyAlignment="1">
      <alignment horizontal="center" vertical="center" wrapText="1"/>
    </xf>
    <xf numFmtId="165" fontId="8" fillId="7" borderId="0" xfId="0" applyNumberFormat="1" applyFont="1" applyFill="1" applyAlignment="1">
      <alignment horizontal="center" vertical="center"/>
    </xf>
    <xf numFmtId="3" fontId="8" fillId="7" borderId="0" xfId="0" applyNumberFormat="1" applyFont="1" applyFill="1" applyAlignment="1">
      <alignment horizontal="center" vertical="center"/>
    </xf>
    <xf numFmtId="0" fontId="8" fillId="0" borderId="0" xfId="0" applyFont="1" applyAlignment="1">
      <alignment horizontal="right" vertical="center"/>
    </xf>
    <xf numFmtId="164" fontId="8" fillId="0" borderId="0" xfId="0" applyNumberFormat="1" applyFont="1" applyAlignment="1">
      <alignment horizontal="center"/>
    </xf>
    <xf numFmtId="0" fontId="8" fillId="0" borderId="0" xfId="0" applyFont="1" applyAlignment="1">
      <alignment horizontal="left"/>
    </xf>
    <xf numFmtId="41" fontId="7" fillId="0" borderId="0" xfId="0" applyNumberFormat="1" applyFont="1" applyAlignment="1">
      <alignment horizontal="right" vertical="center"/>
    </xf>
    <xf numFmtId="173" fontId="8" fillId="0" borderId="0" xfId="12" applyFont="1" applyAlignment="1">
      <alignment horizontal="justify" vertical="center"/>
    </xf>
    <xf numFmtId="0" fontId="16" fillId="0" borderId="0" xfId="0" applyFont="1"/>
    <xf numFmtId="0" fontId="16" fillId="0" borderId="0" xfId="0" applyFont="1" applyAlignment="1">
      <alignment horizontal="center"/>
    </xf>
    <xf numFmtId="41" fontId="16" fillId="0" borderId="0" xfId="0" applyNumberFormat="1" applyFont="1"/>
    <xf numFmtId="0" fontId="16" fillId="0" borderId="0" xfId="0" applyFont="1" applyAlignment="1">
      <alignment horizontal="center" vertical="center"/>
    </xf>
    <xf numFmtId="0" fontId="26" fillId="0" borderId="1" xfId="0" applyFont="1" applyBorder="1"/>
    <xf numFmtId="0" fontId="26" fillId="0" borderId="1" xfId="0" applyFont="1" applyBorder="1" applyAlignment="1">
      <alignment horizontal="left"/>
    </xf>
    <xf numFmtId="168" fontId="26" fillId="0" borderId="1" xfId="0" applyNumberFormat="1" applyFont="1" applyBorder="1" applyAlignment="1">
      <alignment horizontal="left"/>
    </xf>
    <xf numFmtId="17" fontId="26" fillId="0" borderId="1" xfId="0" applyNumberFormat="1" applyFont="1" applyBorder="1" applyAlignment="1">
      <alignment horizontal="left"/>
    </xf>
    <xf numFmtId="0" fontId="26" fillId="0" borderId="1" xfId="0" applyFont="1" applyBorder="1" applyAlignment="1">
      <alignment vertical="center"/>
    </xf>
    <xf numFmtId="3" fontId="26" fillId="5" borderId="1" xfId="0" applyNumberFormat="1" applyFont="1" applyFill="1" applyBorder="1" applyAlignment="1">
      <alignment horizontal="left" vertical="center" wrapText="1"/>
    </xf>
    <xf numFmtId="0" fontId="7" fillId="0" borderId="1" xfId="0" applyFont="1" applyBorder="1" applyAlignment="1">
      <alignment horizontal="center" vertical="center"/>
    </xf>
    <xf numFmtId="165" fontId="7" fillId="8" borderId="9" xfId="0" applyNumberFormat="1" applyFont="1" applyFill="1" applyBorder="1" applyAlignment="1">
      <alignment horizontal="center" vertical="center" wrapText="1"/>
    </xf>
    <xf numFmtId="169" fontId="7" fillId="8" borderId="1" xfId="0" applyNumberFormat="1" applyFont="1" applyFill="1" applyBorder="1" applyAlignment="1">
      <alignment horizontal="center" vertical="center" wrapText="1"/>
    </xf>
    <xf numFmtId="0" fontId="7" fillId="8" borderId="9" xfId="0" applyFont="1" applyFill="1" applyBorder="1" applyAlignment="1">
      <alignment horizontal="center" vertical="center" textRotation="90" wrapText="1"/>
    </xf>
    <xf numFmtId="0" fontId="7" fillId="8" borderId="9" xfId="0" applyNumberFormat="1" applyFont="1" applyFill="1" applyBorder="1" applyAlignment="1">
      <alignment horizontal="center" vertical="center" textRotation="90" wrapText="1"/>
    </xf>
    <xf numFmtId="1" fontId="7" fillId="10" borderId="7" xfId="0" applyNumberFormat="1" applyFont="1" applyFill="1" applyBorder="1" applyAlignment="1">
      <alignment horizontal="left" vertical="center"/>
    </xf>
    <xf numFmtId="0" fontId="7" fillId="10" borderId="3" xfId="0" applyFont="1" applyFill="1" applyBorder="1" applyAlignment="1">
      <alignment horizontal="left" vertical="center"/>
    </xf>
    <xf numFmtId="0" fontId="7" fillId="10" borderId="3" xfId="0" applyFont="1" applyFill="1" applyBorder="1" applyAlignment="1">
      <alignment horizontal="justify" vertical="center"/>
    </xf>
    <xf numFmtId="0" fontId="7" fillId="10" borderId="3" xfId="0" applyFont="1" applyFill="1" applyBorder="1" applyAlignment="1">
      <alignment horizontal="center" vertical="center"/>
    </xf>
    <xf numFmtId="169" fontId="7" fillId="10" borderId="3" xfId="0" applyNumberFormat="1" applyFont="1" applyFill="1" applyBorder="1" applyAlignment="1">
      <alignment horizontal="left" vertical="center"/>
    </xf>
    <xf numFmtId="165" fontId="7" fillId="10" borderId="3" xfId="0" applyNumberFormat="1" applyFont="1" applyFill="1" applyBorder="1" applyAlignment="1">
      <alignment horizontal="left" vertical="center"/>
    </xf>
    <xf numFmtId="166" fontId="7" fillId="10" borderId="3" xfId="0" applyNumberFormat="1" applyFont="1" applyFill="1" applyBorder="1" applyAlignment="1">
      <alignment horizontal="left" vertical="center"/>
    </xf>
    <xf numFmtId="0" fontId="28" fillId="10" borderId="3" xfId="0" applyFont="1" applyFill="1" applyBorder="1"/>
    <xf numFmtId="0" fontId="28" fillId="10" borderId="6" xfId="0" applyFont="1" applyFill="1" applyBorder="1" applyAlignment="1">
      <alignment horizontal="justify"/>
    </xf>
    <xf numFmtId="0" fontId="28" fillId="0" borderId="0" xfId="0" applyFont="1"/>
    <xf numFmtId="1" fontId="7" fillId="7" borderId="7" xfId="0" applyNumberFormat="1" applyFont="1" applyFill="1" applyBorder="1" applyAlignment="1">
      <alignment horizontal="center" vertical="center" wrapText="1"/>
    </xf>
    <xf numFmtId="1" fontId="7" fillId="7" borderId="3" xfId="0" applyNumberFormat="1" applyFont="1" applyFill="1" applyBorder="1" applyAlignment="1">
      <alignment horizontal="center" vertical="center" wrapText="1"/>
    </xf>
    <xf numFmtId="1" fontId="7" fillId="7" borderId="6" xfId="0" applyNumberFormat="1" applyFont="1" applyFill="1" applyBorder="1" applyAlignment="1">
      <alignment horizontal="center" vertical="center" wrapText="1"/>
    </xf>
    <xf numFmtId="1" fontId="7" fillId="11" borderId="3" xfId="0" applyNumberFormat="1" applyFont="1" applyFill="1" applyBorder="1" applyAlignment="1">
      <alignment horizontal="left" vertical="center"/>
    </xf>
    <xf numFmtId="0" fontId="7" fillId="11" borderId="3" xfId="0" applyFont="1" applyFill="1" applyBorder="1" applyAlignment="1">
      <alignment horizontal="left" vertical="center"/>
    </xf>
    <xf numFmtId="0" fontId="7" fillId="11" borderId="3" xfId="0" applyFont="1" applyFill="1" applyBorder="1" applyAlignment="1">
      <alignment horizontal="justify" vertical="center"/>
    </xf>
    <xf numFmtId="0" fontId="7" fillId="11" borderId="3" xfId="0" applyFont="1" applyFill="1" applyBorder="1" applyAlignment="1">
      <alignment horizontal="center" vertical="center"/>
    </xf>
    <xf numFmtId="169" fontId="7" fillId="11" borderId="3" xfId="0" applyNumberFormat="1" applyFont="1" applyFill="1" applyBorder="1" applyAlignment="1">
      <alignment horizontal="left" vertical="center"/>
    </xf>
    <xf numFmtId="165" fontId="7" fillId="11" borderId="3" xfId="0" applyNumberFormat="1" applyFont="1" applyFill="1" applyBorder="1" applyAlignment="1">
      <alignment horizontal="left" vertical="center"/>
    </xf>
    <xf numFmtId="166" fontId="7" fillId="11" borderId="3" xfId="0" applyNumberFormat="1" applyFont="1" applyFill="1" applyBorder="1" applyAlignment="1">
      <alignment horizontal="left" vertical="center"/>
    </xf>
    <xf numFmtId="0" fontId="28" fillId="11" borderId="3" xfId="0" applyFont="1" applyFill="1" applyBorder="1"/>
    <xf numFmtId="0" fontId="28" fillId="11" borderId="6" xfId="0" applyFont="1" applyFill="1" applyBorder="1" applyAlignment="1">
      <alignment horizontal="justify"/>
    </xf>
    <xf numFmtId="1" fontId="7" fillId="7" borderId="12" xfId="0" applyNumberFormat="1" applyFont="1" applyFill="1" applyBorder="1" applyAlignment="1">
      <alignment horizontal="center" vertical="center" wrapText="1"/>
    </xf>
    <xf numFmtId="1" fontId="7" fillId="7" borderId="0" xfId="0" applyNumberFormat="1" applyFont="1" applyFill="1" applyAlignment="1">
      <alignment horizontal="center" vertical="center" wrapText="1"/>
    </xf>
    <xf numFmtId="0" fontId="7" fillId="7" borderId="7" xfId="0" applyFont="1" applyFill="1" applyBorder="1" applyAlignment="1">
      <alignment horizontal="center" vertical="center"/>
    </xf>
    <xf numFmtId="0" fontId="7" fillId="7" borderId="3" xfId="0" applyFont="1" applyFill="1" applyBorder="1" applyAlignment="1">
      <alignment horizontal="center" vertical="center"/>
    </xf>
    <xf numFmtId="0" fontId="7" fillId="7" borderId="6" xfId="0" applyFont="1" applyFill="1" applyBorder="1" applyAlignment="1">
      <alignment horizontal="center" vertical="center"/>
    </xf>
    <xf numFmtId="1" fontId="7" fillId="12" borderId="10" xfId="0" applyNumberFormat="1" applyFont="1" applyFill="1" applyBorder="1" applyAlignment="1">
      <alignment horizontal="left" vertical="center"/>
    </xf>
    <xf numFmtId="0" fontId="7" fillId="12" borderId="10" xfId="0" applyFont="1" applyFill="1" applyBorder="1" applyAlignment="1">
      <alignment horizontal="left" vertical="center"/>
    </xf>
    <xf numFmtId="0" fontId="7" fillId="12" borderId="10" xfId="0" applyFont="1" applyFill="1" applyBorder="1" applyAlignment="1">
      <alignment horizontal="justify" vertical="center"/>
    </xf>
    <xf numFmtId="0" fontId="7" fillId="12" borderId="3" xfId="0" applyFont="1" applyFill="1" applyBorder="1" applyAlignment="1">
      <alignment horizontal="center" vertical="center"/>
    </xf>
    <xf numFmtId="169" fontId="7" fillId="12" borderId="10" xfId="0" applyNumberFormat="1" applyFont="1" applyFill="1" applyBorder="1" applyAlignment="1">
      <alignment horizontal="left" vertical="center"/>
    </xf>
    <xf numFmtId="165" fontId="7" fillId="12" borderId="10" xfId="0" applyNumberFormat="1" applyFont="1" applyFill="1" applyBorder="1" applyAlignment="1">
      <alignment horizontal="left" vertical="center"/>
    </xf>
    <xf numFmtId="0" fontId="7" fillId="12" borderId="37" xfId="0" applyFont="1" applyFill="1" applyBorder="1" applyAlignment="1">
      <alignment horizontal="justify" vertical="center"/>
    </xf>
    <xf numFmtId="0" fontId="7" fillId="12" borderId="37" xfId="0" applyFont="1" applyFill="1" applyBorder="1" applyAlignment="1">
      <alignment horizontal="center" vertical="center"/>
    </xf>
    <xf numFmtId="1" fontId="8" fillId="12" borderId="10" xfId="0" applyNumberFormat="1" applyFont="1" applyFill="1" applyBorder="1" applyAlignment="1">
      <alignment vertical="center" wrapText="1"/>
    </xf>
    <xf numFmtId="166" fontId="7" fillId="12" borderId="10" xfId="0" applyNumberFormat="1" applyFont="1" applyFill="1" applyBorder="1" applyAlignment="1">
      <alignment horizontal="left" vertical="center"/>
    </xf>
    <xf numFmtId="0" fontId="28" fillId="12" borderId="10" xfId="0" applyFont="1" applyFill="1" applyBorder="1"/>
    <xf numFmtId="0" fontId="28" fillId="12" borderId="15" xfId="0" applyFont="1" applyFill="1" applyBorder="1" applyAlignment="1">
      <alignment horizontal="justify"/>
    </xf>
    <xf numFmtId="0" fontId="7" fillId="7" borderId="12" xfId="0" applyFont="1" applyFill="1" applyBorder="1" applyAlignment="1">
      <alignment horizontal="center" vertical="center"/>
    </xf>
    <xf numFmtId="0" fontId="7" fillId="7" borderId="0" xfId="0" applyFont="1" applyFill="1" applyAlignment="1">
      <alignment horizontal="center" vertical="center"/>
    </xf>
    <xf numFmtId="0" fontId="7" fillId="7" borderId="11" xfId="0" applyFont="1" applyFill="1" applyBorder="1" applyAlignment="1">
      <alignment horizontal="center" vertical="center"/>
    </xf>
    <xf numFmtId="0" fontId="8" fillId="7" borderId="11" xfId="0" applyFont="1" applyFill="1" applyBorder="1" applyAlignment="1">
      <alignment horizontal="center" vertical="center"/>
    </xf>
    <xf numFmtId="4" fontId="8" fillId="0" borderId="37" xfId="1" applyNumberFormat="1" applyFont="1" applyFill="1" applyBorder="1" applyAlignment="1">
      <alignment horizontal="right" vertical="center"/>
    </xf>
    <xf numFmtId="1" fontId="8" fillId="0" borderId="37" xfId="0" applyNumberFormat="1" applyFont="1" applyBorder="1" applyAlignment="1">
      <alignment horizontal="center" vertical="center" wrapText="1"/>
    </xf>
    <xf numFmtId="41" fontId="8" fillId="0" borderId="37" xfId="0" applyNumberFormat="1" applyFont="1" applyBorder="1" applyAlignment="1">
      <alignment horizontal="justify" vertical="center" wrapText="1"/>
    </xf>
    <xf numFmtId="4" fontId="28" fillId="0" borderId="37" xfId="0" applyNumberFormat="1" applyFont="1" applyFill="1" applyBorder="1" applyAlignment="1">
      <alignment horizontal="right" vertical="center"/>
    </xf>
    <xf numFmtId="41" fontId="28" fillId="0" borderId="37" xfId="0" applyNumberFormat="1" applyFont="1" applyBorder="1" applyAlignment="1">
      <alignment horizontal="justify" vertical="center"/>
    </xf>
    <xf numFmtId="4" fontId="8" fillId="0" borderId="37" xfId="9" applyNumberFormat="1" applyFont="1" applyFill="1" applyBorder="1" applyAlignment="1">
      <alignment vertical="center"/>
    </xf>
    <xf numFmtId="0" fontId="8" fillId="0" borderId="37" xfId="0" applyFont="1" applyBorder="1" applyAlignment="1">
      <alignment horizontal="justify" vertical="center" wrapText="1"/>
    </xf>
    <xf numFmtId="0" fontId="8" fillId="0" borderId="37" xfId="0" applyFont="1" applyBorder="1" applyAlignment="1">
      <alignment horizontal="justify" vertical="center"/>
    </xf>
    <xf numFmtId="4" fontId="8" fillId="0" borderId="37" xfId="9" applyNumberFormat="1" applyFont="1" applyFill="1" applyBorder="1" applyAlignment="1">
      <alignment horizontal="right" vertical="center"/>
    </xf>
    <xf numFmtId="4" fontId="8" fillId="0" borderId="37" xfId="9" applyNumberFormat="1" applyFont="1" applyFill="1" applyBorder="1" applyAlignment="1">
      <alignment horizontal="right" vertical="center" wrapText="1"/>
    </xf>
    <xf numFmtId="0" fontId="28" fillId="0" borderId="0" xfId="0" applyFont="1" applyAlignment="1">
      <alignment wrapText="1"/>
    </xf>
    <xf numFmtId="0" fontId="28" fillId="0" borderId="37" xfId="0" applyFont="1" applyBorder="1" applyAlignment="1">
      <alignment horizontal="center" vertical="center"/>
    </xf>
    <xf numFmtId="0" fontId="28" fillId="0" borderId="37" xfId="0" applyFont="1" applyBorder="1" applyAlignment="1">
      <alignment horizontal="justify" vertical="center"/>
    </xf>
    <xf numFmtId="1" fontId="7" fillId="7" borderId="12" xfId="0" applyNumberFormat="1" applyFont="1" applyFill="1" applyBorder="1" applyAlignment="1">
      <alignment horizontal="justify" vertical="center"/>
    </xf>
    <xf numFmtId="1" fontId="7" fillId="7" borderId="0" xfId="0" applyNumberFormat="1" applyFont="1" applyFill="1" applyAlignment="1">
      <alignment horizontal="justify" vertical="center"/>
    </xf>
    <xf numFmtId="1" fontId="7" fillId="7" borderId="11" xfId="0" applyNumberFormat="1" applyFont="1" applyFill="1" applyBorder="1" applyAlignment="1">
      <alignment horizontal="justify" vertical="center"/>
    </xf>
    <xf numFmtId="1" fontId="7" fillId="12" borderId="3" xfId="0" applyNumberFormat="1" applyFont="1" applyFill="1" applyBorder="1" applyAlignment="1">
      <alignment horizontal="justify" vertical="center"/>
    </xf>
    <xf numFmtId="0" fontId="7" fillId="12" borderId="3" xfId="0" applyFont="1" applyFill="1" applyBorder="1" applyAlignment="1">
      <alignment vertical="center"/>
    </xf>
    <xf numFmtId="0" fontId="7" fillId="12" borderId="10" xfId="0" applyFont="1" applyFill="1" applyBorder="1" applyAlignment="1">
      <alignment vertical="center"/>
    </xf>
    <xf numFmtId="0" fontId="7" fillId="12" borderId="2" xfId="0" applyFont="1" applyFill="1" applyBorder="1" applyAlignment="1">
      <alignment horizontal="center" vertical="center"/>
    </xf>
    <xf numFmtId="43" fontId="7" fillId="12" borderId="10" xfId="9" applyFont="1" applyFill="1" applyBorder="1" applyAlignment="1">
      <alignment vertical="center"/>
    </xf>
    <xf numFmtId="43" fontId="7" fillId="12" borderId="37" xfId="9" applyFont="1" applyFill="1" applyBorder="1" applyAlignment="1">
      <alignment horizontal="justify" vertical="center"/>
    </xf>
    <xf numFmtId="0" fontId="28" fillId="12" borderId="15" xfId="0" applyFont="1" applyFill="1" applyBorder="1" applyAlignment="1">
      <alignment horizontal="center" vertical="center"/>
    </xf>
    <xf numFmtId="1" fontId="8" fillId="7" borderId="12" xfId="0" applyNumberFormat="1" applyFont="1" applyFill="1" applyBorder="1" applyAlignment="1">
      <alignment horizontal="justify" vertical="center"/>
    </xf>
    <xf numFmtId="1" fontId="8" fillId="7" borderId="0" xfId="0" applyNumberFormat="1" applyFont="1" applyFill="1" applyAlignment="1">
      <alignment horizontal="justify" vertical="center"/>
    </xf>
    <xf numFmtId="0" fontId="8" fillId="7" borderId="12" xfId="0" applyFont="1" applyFill="1" applyBorder="1" applyAlignment="1">
      <alignment horizontal="justify" vertical="center"/>
    </xf>
    <xf numFmtId="0" fontId="8" fillId="7" borderId="7" xfId="0" applyFont="1" applyFill="1" applyBorder="1" applyAlignment="1">
      <alignment horizontal="justify" vertical="center"/>
    </xf>
    <xf numFmtId="0" fontId="8" fillId="7" borderId="3" xfId="0" applyFont="1" applyFill="1" applyBorder="1" applyAlignment="1">
      <alignment horizontal="justify" vertical="center"/>
    </xf>
    <xf numFmtId="0" fontId="8" fillId="7" borderId="6" xfId="0" applyFont="1" applyFill="1" applyBorder="1" applyAlignment="1">
      <alignment horizontal="justify" vertical="center"/>
    </xf>
    <xf numFmtId="43" fontId="8" fillId="0" borderId="38" xfId="9" applyFont="1" applyBorder="1" applyAlignment="1">
      <alignment horizontal="center" vertical="center"/>
    </xf>
    <xf numFmtId="1" fontId="8" fillId="7" borderId="38" xfId="0" applyNumberFormat="1" applyFont="1" applyFill="1" applyBorder="1" applyAlignment="1">
      <alignment horizontal="center" vertical="center"/>
    </xf>
    <xf numFmtId="0" fontId="8" fillId="7" borderId="38" xfId="0" applyFont="1" applyFill="1" applyBorder="1" applyAlignment="1">
      <alignment horizontal="justify" vertical="center"/>
    </xf>
    <xf numFmtId="0" fontId="8" fillId="7" borderId="11" xfId="0" applyFont="1" applyFill="1" applyBorder="1" applyAlignment="1">
      <alignment horizontal="justify" vertical="center"/>
    </xf>
    <xf numFmtId="43" fontId="8" fillId="0" borderId="37" xfId="9" applyFont="1" applyFill="1" applyBorder="1" applyAlignment="1">
      <alignment horizontal="center" vertical="center"/>
    </xf>
    <xf numFmtId="1" fontId="8" fillId="7" borderId="37" xfId="0" applyNumberFormat="1" applyFont="1" applyFill="1" applyBorder="1" applyAlignment="1">
      <alignment horizontal="center" vertical="center"/>
    </xf>
    <xf numFmtId="0" fontId="8" fillId="7" borderId="37" xfId="0" applyFont="1" applyFill="1" applyBorder="1" applyAlignment="1">
      <alignment horizontal="justify" vertical="center"/>
    </xf>
    <xf numFmtId="0" fontId="8" fillId="0" borderId="15" xfId="0" applyFont="1" applyBorder="1" applyAlignment="1">
      <alignment horizontal="center" vertical="center"/>
    </xf>
    <xf numFmtId="0" fontId="8" fillId="7" borderId="1" xfId="0" applyFont="1" applyFill="1" applyBorder="1" applyAlignment="1">
      <alignment horizontal="justify" vertical="center"/>
    </xf>
    <xf numFmtId="0" fontId="8" fillId="7" borderId="14" xfId="0" applyFont="1" applyFill="1" applyBorder="1" applyAlignment="1">
      <alignment horizontal="justify" vertical="center"/>
    </xf>
    <xf numFmtId="3" fontId="8" fillId="0" borderId="1" xfId="0" applyNumberFormat="1" applyFont="1" applyBorder="1" applyAlignment="1">
      <alignment horizontal="center" vertical="center"/>
    </xf>
    <xf numFmtId="9" fontId="8" fillId="7" borderId="8" xfId="4" applyNumberFormat="1" applyFont="1" applyFill="1" applyBorder="1" applyAlignment="1">
      <alignment horizontal="center" vertical="center"/>
    </xf>
    <xf numFmtId="0" fontId="8" fillId="0" borderId="14" xfId="0" applyFont="1" applyBorder="1" applyAlignment="1">
      <alignment horizontal="justify" vertical="center"/>
    </xf>
    <xf numFmtId="43" fontId="8" fillId="0" borderId="14" xfId="9" applyFont="1" applyBorder="1" applyAlignment="1">
      <alignment horizontal="center" vertical="center"/>
    </xf>
    <xf numFmtId="1" fontId="8" fillId="7" borderId="14" xfId="0" applyNumberFormat="1" applyFont="1" applyFill="1" applyBorder="1" applyAlignment="1">
      <alignment horizontal="center" vertical="center"/>
    </xf>
    <xf numFmtId="0" fontId="8" fillId="0" borderId="1" xfId="0" applyFont="1" applyBorder="1" applyAlignment="1">
      <alignment horizontal="justify" vertical="center"/>
    </xf>
    <xf numFmtId="1" fontId="8" fillId="7" borderId="1" xfId="0" applyNumberFormat="1" applyFont="1" applyFill="1" applyBorder="1" applyAlignment="1">
      <alignment horizontal="center" vertical="center"/>
    </xf>
    <xf numFmtId="43" fontId="8" fillId="0" borderId="14" xfId="9" applyFont="1" applyBorder="1" applyAlignment="1">
      <alignment horizontal="center" vertical="center" wrapText="1"/>
    </xf>
    <xf numFmtId="0" fontId="28" fillId="0" borderId="1" xfId="0" applyFont="1" applyBorder="1" applyAlignment="1">
      <alignment horizontal="justify"/>
    </xf>
    <xf numFmtId="0" fontId="8" fillId="7" borderId="1" xfId="0" applyFont="1" applyFill="1" applyBorder="1" applyAlignment="1">
      <alignment horizontal="center" vertical="center"/>
    </xf>
    <xf numFmtId="43" fontId="8" fillId="0" borderId="1" xfId="9" applyFont="1" applyBorder="1" applyAlignment="1">
      <alignment horizontal="center" vertical="center"/>
    </xf>
    <xf numFmtId="0" fontId="8" fillId="0" borderId="6" xfId="0" applyFont="1" applyBorder="1" applyAlignment="1">
      <alignment horizontal="center" vertical="center"/>
    </xf>
    <xf numFmtId="0" fontId="8" fillId="7" borderId="8" xfId="0" applyFont="1" applyFill="1" applyBorder="1" applyAlignment="1">
      <alignment horizontal="justify" vertical="center"/>
    </xf>
    <xf numFmtId="1" fontId="8" fillId="7" borderId="8" xfId="0" applyNumberFormat="1" applyFont="1" applyFill="1" applyBorder="1" applyAlignment="1">
      <alignment horizontal="center" vertical="center"/>
    </xf>
    <xf numFmtId="0" fontId="8" fillId="0" borderId="8" xfId="0" applyFont="1" applyBorder="1" applyAlignment="1">
      <alignment horizontal="left" vertical="center" wrapText="1"/>
    </xf>
    <xf numFmtId="167" fontId="8" fillId="0" borderId="8" xfId="9" applyNumberFormat="1" applyFont="1" applyBorder="1" applyAlignment="1">
      <alignment horizontal="center" vertical="center" wrapText="1"/>
    </xf>
    <xf numFmtId="0" fontId="8" fillId="7" borderId="13" xfId="0" applyFont="1" applyFill="1" applyBorder="1" applyAlignment="1">
      <alignment horizontal="center" vertical="center" wrapText="1"/>
    </xf>
    <xf numFmtId="4" fontId="8" fillId="0" borderId="37" xfId="9" applyNumberFormat="1" applyFont="1" applyBorder="1" applyAlignment="1">
      <alignment horizontal="right" vertical="center" wrapText="1"/>
    </xf>
    <xf numFmtId="0" fontId="29" fillId="0" borderId="1" xfId="0" applyFont="1" applyFill="1" applyBorder="1" applyAlignment="1">
      <alignment horizontal="center" vertical="center" wrapText="1"/>
    </xf>
    <xf numFmtId="0" fontId="29" fillId="0" borderId="1" xfId="0" applyFont="1" applyFill="1" applyBorder="1" applyAlignment="1">
      <alignment horizontal="justify" vertical="center" wrapText="1"/>
    </xf>
    <xf numFmtId="0" fontId="29" fillId="0" borderId="14" xfId="0" applyFont="1" applyFill="1" applyBorder="1" applyAlignment="1">
      <alignment horizontal="center" vertical="center" wrapText="1"/>
    </xf>
    <xf numFmtId="0" fontId="29" fillId="0" borderId="14" xfId="0" applyFont="1" applyFill="1" applyBorder="1" applyAlignment="1">
      <alignment horizontal="justify" vertical="center" wrapText="1"/>
    </xf>
    <xf numFmtId="4" fontId="8" fillId="0" borderId="37" xfId="9" applyNumberFormat="1" applyFont="1" applyBorder="1" applyAlignment="1">
      <alignment horizontal="right" vertical="center"/>
    </xf>
    <xf numFmtId="4" fontId="28" fillId="0" borderId="36" xfId="0" applyNumberFormat="1" applyFont="1" applyBorder="1" applyAlignment="1">
      <alignment horizontal="right" vertical="center"/>
    </xf>
    <xf numFmtId="4" fontId="28" fillId="0" borderId="1" xfId="0" applyNumberFormat="1" applyFont="1" applyBorder="1" applyAlignment="1">
      <alignment horizontal="right" vertical="center"/>
    </xf>
    <xf numFmtId="0" fontId="29" fillId="0" borderId="8" xfId="0" applyFont="1" applyFill="1" applyBorder="1" applyAlignment="1">
      <alignment horizontal="justify" vertical="center" wrapText="1"/>
    </xf>
    <xf numFmtId="1" fontId="8" fillId="0" borderId="13" xfId="0" applyNumberFormat="1" applyFont="1" applyFill="1" applyBorder="1" applyAlignment="1">
      <alignment horizontal="center" vertical="center" wrapText="1"/>
    </xf>
    <xf numFmtId="0" fontId="29" fillId="0" borderId="13" xfId="0" applyFont="1" applyFill="1" applyBorder="1" applyAlignment="1">
      <alignment horizontal="center" vertical="center" wrapText="1"/>
    </xf>
    <xf numFmtId="1" fontId="7" fillId="11" borderId="0" xfId="0" applyNumberFormat="1" applyFont="1" applyFill="1" applyAlignment="1">
      <alignment horizontal="justify" vertical="center"/>
    </xf>
    <xf numFmtId="0" fontId="7" fillId="11" borderId="0" xfId="0" applyFont="1" applyFill="1" applyAlignment="1">
      <alignment horizontal="left" vertical="center"/>
    </xf>
    <xf numFmtId="0" fontId="7" fillId="11" borderId="0" xfId="0" applyFont="1" applyFill="1" applyAlignment="1">
      <alignment horizontal="justify" vertical="center"/>
    </xf>
    <xf numFmtId="0" fontId="7" fillId="11" borderId="3" xfId="0" applyFont="1" applyFill="1" applyBorder="1" applyAlignment="1">
      <alignment vertical="center"/>
    </xf>
    <xf numFmtId="169" fontId="7" fillId="11" borderId="3" xfId="0" applyNumberFormat="1" applyFont="1" applyFill="1" applyBorder="1" applyAlignment="1">
      <alignment horizontal="center" vertical="center"/>
    </xf>
    <xf numFmtId="43" fontId="7" fillId="11" borderId="3" xfId="9" applyFont="1" applyFill="1" applyBorder="1" applyAlignment="1">
      <alignment vertical="center"/>
    </xf>
    <xf numFmtId="43" fontId="7" fillId="11" borderId="0" xfId="9" applyFont="1" applyFill="1" applyAlignment="1">
      <alignment horizontal="justify" vertical="center"/>
    </xf>
    <xf numFmtId="167" fontId="7" fillId="11" borderId="0" xfId="0" applyNumberFormat="1" applyFont="1" applyFill="1" applyAlignment="1">
      <alignment horizontal="center" vertical="center"/>
    </xf>
    <xf numFmtId="166" fontId="7" fillId="11" borderId="3" xfId="0" applyNumberFormat="1" applyFont="1" applyFill="1" applyBorder="1" applyAlignment="1">
      <alignment horizontal="center" vertical="center"/>
    </xf>
    <xf numFmtId="0" fontId="28" fillId="11" borderId="6" xfId="0" applyFont="1" applyFill="1" applyBorder="1" applyAlignment="1">
      <alignment horizontal="center" vertical="center"/>
    </xf>
    <xf numFmtId="0" fontId="8" fillId="0" borderId="12" xfId="0" applyFont="1" applyBorder="1" applyAlignment="1">
      <alignment vertical="center"/>
    </xf>
    <xf numFmtId="0" fontId="7" fillId="7" borderId="0" xfId="0" applyFont="1" applyFill="1" applyAlignment="1">
      <alignment horizontal="justify" vertical="center"/>
    </xf>
    <xf numFmtId="0" fontId="7" fillId="7" borderId="7" xfId="0" applyFont="1" applyFill="1" applyBorder="1" applyAlignment="1">
      <alignment horizontal="justify" vertical="center"/>
    </xf>
    <xf numFmtId="0" fontId="7" fillId="7" borderId="3" xfId="0" applyFont="1" applyFill="1" applyBorder="1" applyAlignment="1">
      <alignment horizontal="justify" vertical="center"/>
    </xf>
    <xf numFmtId="0" fontId="7" fillId="7" borderId="6" xfId="0" applyFont="1" applyFill="1" applyBorder="1" applyAlignment="1">
      <alignment horizontal="justify" vertical="center"/>
    </xf>
    <xf numFmtId="1" fontId="7" fillId="12" borderId="10" xfId="0" applyNumberFormat="1" applyFont="1" applyFill="1" applyBorder="1" applyAlignment="1">
      <alignment horizontal="justify" vertical="center"/>
    </xf>
    <xf numFmtId="0" fontId="7" fillId="12" borderId="10" xfId="0" applyFont="1" applyFill="1" applyBorder="1" applyAlignment="1">
      <alignment horizontal="center" vertical="center"/>
    </xf>
    <xf numFmtId="43" fontId="7" fillId="12" borderId="10" xfId="9" applyFont="1" applyFill="1" applyBorder="1" applyAlignment="1">
      <alignment horizontal="justify" vertical="center"/>
    </xf>
    <xf numFmtId="0" fontId="8" fillId="7" borderId="12" xfId="0" applyFont="1" applyFill="1" applyBorder="1" applyAlignment="1">
      <alignment horizontal="justify"/>
    </xf>
    <xf numFmtId="0" fontId="8" fillId="7" borderId="0" xfId="0" applyFont="1" applyFill="1" applyAlignment="1">
      <alignment horizontal="justify"/>
    </xf>
    <xf numFmtId="0" fontId="7" fillId="7" borderId="12" xfId="0" applyFont="1" applyFill="1" applyBorder="1" applyAlignment="1">
      <alignment horizontal="justify" vertical="center"/>
    </xf>
    <xf numFmtId="0" fontId="7" fillId="7" borderId="11" xfId="0" applyFont="1" applyFill="1" applyBorder="1" applyAlignment="1">
      <alignment horizontal="justify" vertical="center"/>
    </xf>
    <xf numFmtId="0" fontId="8" fillId="0" borderId="14" xfId="0" applyFont="1" applyBorder="1" applyAlignment="1">
      <alignment horizontal="center" vertical="center"/>
    </xf>
    <xf numFmtId="3" fontId="8" fillId="0" borderId="14" xfId="0" applyNumberFormat="1" applyFont="1" applyBorder="1" applyAlignment="1">
      <alignment horizontal="center" vertical="center"/>
    </xf>
    <xf numFmtId="0" fontId="8" fillId="7" borderId="13" xfId="0" applyFont="1" applyFill="1" applyBorder="1" applyAlignment="1">
      <alignment horizontal="center"/>
    </xf>
    <xf numFmtId="9" fontId="8" fillId="7" borderId="13" xfId="11" applyFont="1" applyFill="1" applyBorder="1" applyAlignment="1">
      <alignment horizontal="center" vertical="center"/>
    </xf>
    <xf numFmtId="0" fontId="8" fillId="0" borderId="13" xfId="0" applyFont="1" applyBorder="1" applyAlignment="1">
      <alignment horizontal="justify" vertical="center"/>
    </xf>
    <xf numFmtId="43" fontId="8" fillId="0" borderId="13" xfId="9" applyFont="1" applyBorder="1" applyAlignment="1">
      <alignment horizontal="justify" vertical="center"/>
    </xf>
    <xf numFmtId="1" fontId="8" fillId="7" borderId="8" xfId="0" applyNumberFormat="1" applyFont="1" applyFill="1" applyBorder="1" applyAlignment="1">
      <alignment horizontal="center" vertical="center" wrapText="1"/>
    </xf>
    <xf numFmtId="0" fontId="28" fillId="0" borderId="8" xfId="0" applyFont="1" applyBorder="1" applyAlignment="1">
      <alignment horizontal="justify"/>
    </xf>
    <xf numFmtId="41" fontId="8" fillId="0" borderId="37" xfId="9" applyNumberFormat="1" applyFont="1" applyBorder="1" applyAlignment="1">
      <alignment horizontal="right" vertical="center" wrapText="1"/>
    </xf>
    <xf numFmtId="1" fontId="8" fillId="7" borderId="37" xfId="0" applyNumberFormat="1" applyFont="1" applyFill="1" applyBorder="1" applyAlignment="1">
      <alignment horizontal="center" vertical="center" wrapText="1"/>
    </xf>
    <xf numFmtId="0" fontId="8" fillId="7" borderId="37" xfId="0" applyFont="1" applyFill="1" applyBorder="1" applyAlignment="1">
      <alignment horizontal="justify" vertical="center" wrapText="1"/>
    </xf>
    <xf numFmtId="41" fontId="28" fillId="0" borderId="37" xfId="0" applyNumberFormat="1" applyFont="1" applyFill="1" applyBorder="1" applyAlignment="1">
      <alignment horizontal="right" vertical="center"/>
    </xf>
    <xf numFmtId="0" fontId="8" fillId="0" borderId="1" xfId="0" applyFont="1" applyBorder="1" applyAlignment="1">
      <alignment horizontal="center" vertical="center"/>
    </xf>
    <xf numFmtId="9" fontId="8" fillId="7" borderId="14" xfId="11" applyFont="1" applyFill="1" applyBorder="1" applyAlignment="1">
      <alignment horizontal="center" vertical="center"/>
    </xf>
    <xf numFmtId="43" fontId="8" fillId="0" borderId="14" xfId="9" applyFont="1" applyBorder="1" applyAlignment="1">
      <alignment horizontal="justify" vertical="center"/>
    </xf>
    <xf numFmtId="1" fontId="8" fillId="7" borderId="14" xfId="0" applyNumberFormat="1" applyFont="1" applyFill="1" applyBorder="1" applyAlignment="1">
      <alignment horizontal="center" vertical="center" wrapText="1"/>
    </xf>
    <xf numFmtId="0" fontId="8" fillId="7" borderId="14" xfId="0" applyFont="1" applyFill="1" applyBorder="1" applyAlignment="1">
      <alignment horizontal="justify" vertical="center" wrapText="1"/>
    </xf>
    <xf numFmtId="9" fontId="8" fillId="7" borderId="1" xfId="11" applyFont="1" applyFill="1" applyBorder="1" applyAlignment="1">
      <alignment horizontal="center" vertical="center"/>
    </xf>
    <xf numFmtId="43" fontId="8" fillId="0" borderId="1" xfId="9" applyFont="1" applyBorder="1" applyAlignment="1">
      <alignment horizontal="justify" vertical="center"/>
    </xf>
    <xf numFmtId="1" fontId="8" fillId="7" borderId="1" xfId="0" applyNumberFormat="1" applyFont="1" applyFill="1" applyBorder="1" applyAlignment="1">
      <alignment horizontal="center" vertical="center" wrapText="1"/>
    </xf>
    <xf numFmtId="0" fontId="28" fillId="0" borderId="12" xfId="0" applyFont="1" applyBorder="1"/>
    <xf numFmtId="0" fontId="8" fillId="0" borderId="8" xfId="0" applyFont="1" applyBorder="1" applyAlignment="1">
      <alignment horizontal="center" vertical="center"/>
    </xf>
    <xf numFmtId="3" fontId="8" fillId="0" borderId="8" xfId="0" applyNumberFormat="1" applyFont="1" applyBorder="1" applyAlignment="1">
      <alignment horizontal="center" vertical="center"/>
    </xf>
    <xf numFmtId="9" fontId="8" fillId="7" borderId="8" xfId="11" applyFont="1" applyFill="1" applyBorder="1" applyAlignment="1">
      <alignment horizontal="center" vertical="center"/>
    </xf>
    <xf numFmtId="0" fontId="8" fillId="0" borderId="8" xfId="0" applyFont="1" applyBorder="1" applyAlignment="1">
      <alignment horizontal="justify" vertical="center"/>
    </xf>
    <xf numFmtId="43" fontId="8" fillId="0" borderId="8" xfId="9" applyFont="1" applyBorder="1" applyAlignment="1">
      <alignment horizontal="justify" vertical="center"/>
    </xf>
    <xf numFmtId="0" fontId="7" fillId="12" borderId="2" xfId="0" applyFont="1" applyFill="1" applyBorder="1" applyAlignment="1">
      <alignment horizontal="justify" vertical="center"/>
    </xf>
    <xf numFmtId="0" fontId="8" fillId="7" borderId="12" xfId="0" applyFont="1" applyFill="1" applyBorder="1"/>
    <xf numFmtId="0" fontId="7" fillId="7" borderId="12" xfId="0" applyFont="1" applyFill="1" applyBorder="1" applyAlignment="1">
      <alignment vertical="center"/>
    </xf>
    <xf numFmtId="0" fontId="7" fillId="7" borderId="0" xfId="0" applyFont="1" applyFill="1" applyAlignment="1">
      <alignment vertical="center"/>
    </xf>
    <xf numFmtId="0" fontId="7" fillId="7" borderId="11" xfId="0" applyFont="1" applyFill="1" applyBorder="1" applyAlignment="1">
      <alignment vertical="center"/>
    </xf>
    <xf numFmtId="0" fontId="8" fillId="0" borderId="13" xfId="0" applyFont="1" applyBorder="1" applyAlignment="1">
      <alignment horizontal="center" vertical="center" wrapText="1"/>
    </xf>
    <xf numFmtId="1" fontId="8" fillId="0" borderId="1" xfId="0" applyNumberFormat="1" applyFont="1" applyBorder="1" applyAlignment="1">
      <alignment horizontal="center" vertical="center" wrapText="1"/>
    </xf>
    <xf numFmtId="43" fontId="8" fillId="0" borderId="1" xfId="9" applyFont="1" applyFill="1" applyBorder="1" applyAlignment="1">
      <alignment horizontal="center" vertical="center"/>
    </xf>
    <xf numFmtId="10" fontId="8" fillId="0" borderId="9" xfId="11" applyNumberFormat="1" applyFont="1" applyBorder="1" applyAlignment="1">
      <alignment horizontal="center" vertical="center"/>
    </xf>
    <xf numFmtId="1" fontId="8" fillId="0" borderId="1" xfId="0" applyNumberFormat="1" applyFont="1" applyBorder="1" applyAlignment="1">
      <alignment horizontal="center" vertical="center"/>
    </xf>
    <xf numFmtId="0" fontId="8" fillId="0" borderId="8" xfId="0" applyFont="1" applyBorder="1" applyAlignment="1">
      <alignment horizontal="justify" vertical="center" wrapText="1"/>
    </xf>
    <xf numFmtId="167" fontId="8" fillId="0" borderId="1" xfId="9" applyNumberFormat="1" applyFont="1" applyBorder="1" applyAlignment="1">
      <alignment vertical="center"/>
    </xf>
    <xf numFmtId="167" fontId="8" fillId="0" borderId="1" xfId="9" applyNumberFormat="1" applyFont="1" applyBorder="1" applyAlignment="1">
      <alignment horizontal="center" vertical="center"/>
    </xf>
    <xf numFmtId="43" fontId="8" fillId="0" borderId="1" xfId="9" applyFont="1" applyBorder="1" applyAlignment="1">
      <alignment horizontal="justify" vertical="center" wrapText="1"/>
    </xf>
    <xf numFmtId="0" fontId="8" fillId="0" borderId="13" xfId="0" applyFont="1" applyFill="1" applyBorder="1" applyAlignment="1">
      <alignment horizontal="center" vertical="center" wrapText="1"/>
    </xf>
    <xf numFmtId="10" fontId="8" fillId="0" borderId="7" xfId="11" applyNumberFormat="1" applyFont="1" applyBorder="1" applyAlignment="1">
      <alignment horizontal="center" vertical="center"/>
    </xf>
    <xf numFmtId="0" fontId="7" fillId="12" borderId="3" xfId="0" applyFont="1" applyFill="1" applyBorder="1" applyAlignment="1">
      <alignment horizontal="justify" vertical="center"/>
    </xf>
    <xf numFmtId="43" fontId="7" fillId="12" borderId="3" xfId="9" applyFont="1" applyFill="1" applyBorder="1" applyAlignment="1">
      <alignment horizontal="justify" vertical="center"/>
    </xf>
    <xf numFmtId="0" fontId="8" fillId="7" borderId="11" xfId="0" applyFont="1" applyFill="1" applyBorder="1" applyAlignment="1">
      <alignment horizontal="justify"/>
    </xf>
    <xf numFmtId="0" fontId="8" fillId="0" borderId="8" xfId="0" applyFont="1" applyBorder="1" applyAlignment="1">
      <alignment horizontal="center" vertical="center" wrapText="1"/>
    </xf>
    <xf numFmtId="167" fontId="8" fillId="0" borderId="37" xfId="9" applyNumberFormat="1" applyFont="1" applyBorder="1" applyAlignment="1">
      <alignment horizontal="center" vertical="center"/>
    </xf>
    <xf numFmtId="167" fontId="8" fillId="0" borderId="37" xfId="9" applyNumberFormat="1" applyFont="1" applyFill="1" applyBorder="1" applyAlignment="1">
      <alignment horizontal="center" vertical="center"/>
    </xf>
    <xf numFmtId="167" fontId="8" fillId="0" borderId="13" xfId="9" applyNumberFormat="1" applyFont="1" applyBorder="1" applyAlignment="1">
      <alignment horizontal="center" vertical="center"/>
    </xf>
    <xf numFmtId="1" fontId="8" fillId="0" borderId="14" xfId="0" applyNumberFormat="1" applyFont="1" applyBorder="1" applyAlignment="1">
      <alignment horizontal="center" vertical="center" wrapText="1"/>
    </xf>
    <xf numFmtId="0" fontId="8" fillId="0" borderId="14" xfId="0" applyFont="1" applyBorder="1" applyAlignment="1">
      <alignment horizontal="justify" vertical="center" wrapText="1"/>
    </xf>
    <xf numFmtId="3" fontId="8" fillId="0" borderId="7" xfId="0" applyNumberFormat="1" applyFont="1" applyBorder="1" applyAlignment="1">
      <alignment horizontal="center" vertical="center"/>
    </xf>
    <xf numFmtId="9" fontId="8" fillId="7" borderId="7" xfId="11" applyFont="1" applyFill="1" applyBorder="1" applyAlignment="1">
      <alignment horizontal="center" vertical="center"/>
    </xf>
    <xf numFmtId="0" fontId="7" fillId="12" borderId="10" xfId="0" applyFont="1" applyFill="1" applyBorder="1" applyAlignment="1">
      <alignment horizontal="justify" vertical="center" wrapText="1"/>
    </xf>
    <xf numFmtId="0" fontId="8" fillId="7" borderId="12" xfId="0" applyFont="1" applyFill="1" applyBorder="1" applyAlignment="1">
      <alignment vertical="center"/>
    </xf>
    <xf numFmtId="0" fontId="8" fillId="7" borderId="0" xfId="0" applyFont="1" applyFill="1" applyAlignment="1">
      <alignment vertical="center"/>
    </xf>
    <xf numFmtId="0" fontId="8" fillId="7" borderId="11" xfId="0" applyFont="1" applyFill="1" applyBorder="1" applyAlignment="1">
      <alignment vertical="center"/>
    </xf>
    <xf numFmtId="0" fontId="8" fillId="7" borderId="13" xfId="0" applyFont="1" applyFill="1" applyBorder="1" applyAlignment="1">
      <alignment horizontal="center" vertical="center"/>
    </xf>
    <xf numFmtId="43" fontId="8" fillId="0" borderId="37" xfId="9" applyFont="1" applyBorder="1" applyAlignment="1">
      <alignment vertical="center" wrapText="1"/>
    </xf>
    <xf numFmtId="0" fontId="8" fillId="7" borderId="37" xfId="0" applyFont="1" applyFill="1" applyBorder="1" applyAlignment="1">
      <alignment horizontal="center" vertical="center" wrapText="1"/>
    </xf>
    <xf numFmtId="0" fontId="8" fillId="7" borderId="4" xfId="0" applyFont="1" applyFill="1" applyBorder="1" applyAlignment="1">
      <alignment vertical="center"/>
    </xf>
    <xf numFmtId="0" fontId="8" fillId="7" borderId="2" xfId="0" applyFont="1" applyFill="1" applyBorder="1" applyAlignment="1">
      <alignment vertical="center"/>
    </xf>
    <xf numFmtId="0" fontId="8" fillId="7" borderId="5" xfId="0" applyFont="1" applyFill="1" applyBorder="1" applyAlignment="1">
      <alignment vertical="center"/>
    </xf>
    <xf numFmtId="1" fontId="7" fillId="7" borderId="12" xfId="0" applyNumberFormat="1" applyFont="1" applyFill="1" applyBorder="1" applyAlignment="1">
      <alignment vertical="center" wrapText="1"/>
    </xf>
    <xf numFmtId="1" fontId="7" fillId="7" borderId="0" xfId="0" applyNumberFormat="1" applyFont="1" applyFill="1" applyAlignment="1">
      <alignment vertical="center" wrapText="1"/>
    </xf>
    <xf numFmtId="1" fontId="7" fillId="7" borderId="11" xfId="0" applyNumberFormat="1" applyFont="1" applyFill="1" applyBorder="1" applyAlignment="1">
      <alignment vertical="center" wrapText="1"/>
    </xf>
    <xf numFmtId="0" fontId="7" fillId="11" borderId="10" xfId="0" applyFont="1" applyFill="1" applyBorder="1" applyAlignment="1">
      <alignment horizontal="left" vertical="center"/>
    </xf>
    <xf numFmtId="0" fontId="7" fillId="11" borderId="10" xfId="0" applyFont="1" applyFill="1" applyBorder="1" applyAlignment="1">
      <alignment horizontal="justify" vertical="center"/>
    </xf>
    <xf numFmtId="0" fontId="7" fillId="11" borderId="10" xfId="0" applyFont="1" applyFill="1" applyBorder="1" applyAlignment="1">
      <alignment horizontal="center" vertical="center"/>
    </xf>
    <xf numFmtId="0" fontId="7" fillId="11" borderId="10" xfId="0" applyFont="1" applyFill="1" applyBorder="1" applyAlignment="1">
      <alignment horizontal="justify" vertical="center" wrapText="1"/>
    </xf>
    <xf numFmtId="169" fontId="7" fillId="11" borderId="10" xfId="0" applyNumberFormat="1" applyFont="1" applyFill="1" applyBorder="1" applyAlignment="1">
      <alignment horizontal="center" vertical="center"/>
    </xf>
    <xf numFmtId="43" fontId="7" fillId="11" borderId="10" xfId="9" applyFont="1" applyFill="1" applyBorder="1" applyAlignment="1">
      <alignment vertical="center"/>
    </xf>
    <xf numFmtId="43" fontId="7" fillId="11" borderId="2" xfId="9" applyFont="1" applyFill="1" applyBorder="1" applyAlignment="1">
      <alignment horizontal="justify" vertical="center"/>
    </xf>
    <xf numFmtId="1" fontId="7" fillId="11" borderId="2" xfId="0" applyNumberFormat="1" applyFont="1" applyFill="1" applyBorder="1" applyAlignment="1">
      <alignment horizontal="center" vertical="center"/>
    </xf>
    <xf numFmtId="0" fontId="7" fillId="11" borderId="2" xfId="0" applyFont="1" applyFill="1" applyBorder="1" applyAlignment="1">
      <alignment horizontal="justify" vertical="center"/>
    </xf>
    <xf numFmtId="0" fontId="7" fillId="11" borderId="10" xfId="0" applyFont="1" applyFill="1" applyBorder="1" applyAlignment="1">
      <alignment vertical="center"/>
    </xf>
    <xf numFmtId="166" fontId="7" fillId="11" borderId="10" xfId="0" applyNumberFormat="1" applyFont="1" applyFill="1" applyBorder="1" applyAlignment="1">
      <alignment horizontal="center" vertical="center"/>
    </xf>
    <xf numFmtId="0" fontId="28" fillId="11" borderId="10" xfId="0" applyFont="1" applyFill="1" applyBorder="1"/>
    <xf numFmtId="0" fontId="28" fillId="9" borderId="10" xfId="0" applyFont="1" applyFill="1" applyBorder="1"/>
    <xf numFmtId="0" fontId="28" fillId="9" borderId="15" xfId="0" applyFont="1" applyFill="1" applyBorder="1" applyAlignment="1">
      <alignment horizontal="center" vertical="center"/>
    </xf>
    <xf numFmtId="1" fontId="7" fillId="12" borderId="9" xfId="0" applyNumberFormat="1" applyFont="1" applyFill="1" applyBorder="1" applyAlignment="1">
      <alignment horizontal="justify" vertical="center"/>
    </xf>
    <xf numFmtId="0" fontId="7" fillId="12" borderId="2" xfId="0" applyFont="1" applyFill="1" applyBorder="1" applyAlignment="1">
      <alignment horizontal="left" vertical="center"/>
    </xf>
    <xf numFmtId="0" fontId="7" fillId="12" borderId="2" xfId="0" applyFont="1" applyFill="1" applyBorder="1" applyAlignment="1">
      <alignment vertical="center"/>
    </xf>
    <xf numFmtId="0" fontId="7" fillId="12" borderId="2" xfId="0" applyFont="1" applyFill="1" applyBorder="1" applyAlignment="1">
      <alignment horizontal="justify" vertical="center" wrapText="1"/>
    </xf>
    <xf numFmtId="43" fontId="7" fillId="12" borderId="2" xfId="9" applyFont="1" applyFill="1" applyBorder="1" applyAlignment="1">
      <alignment vertical="center"/>
    </xf>
    <xf numFmtId="43" fontId="7" fillId="12" borderId="2" xfId="9" applyFont="1" applyFill="1" applyBorder="1" applyAlignment="1">
      <alignment horizontal="justify" vertical="center"/>
    </xf>
    <xf numFmtId="0" fontId="28" fillId="12" borderId="2" xfId="0" applyFont="1" applyFill="1" applyBorder="1"/>
    <xf numFmtId="0" fontId="28" fillId="12" borderId="5" xfId="0" applyFont="1" applyFill="1" applyBorder="1" applyAlignment="1">
      <alignment horizontal="center" vertical="center"/>
    </xf>
    <xf numFmtId="0" fontId="8" fillId="7" borderId="3" xfId="0" applyFont="1" applyFill="1" applyBorder="1" applyAlignment="1">
      <alignment horizontal="center"/>
    </xf>
    <xf numFmtId="0" fontId="8" fillId="7" borderId="11" xfId="0" applyFont="1" applyFill="1" applyBorder="1" applyAlignment="1">
      <alignment horizontal="center"/>
    </xf>
    <xf numFmtId="0" fontId="7" fillId="7" borderId="0" xfId="0" applyFont="1" applyFill="1" applyBorder="1" applyAlignment="1">
      <alignment horizontal="center" vertical="center"/>
    </xf>
    <xf numFmtId="0" fontId="28" fillId="0" borderId="0" xfId="0" applyFont="1" applyAlignment="1">
      <alignment horizontal="center"/>
    </xf>
    <xf numFmtId="165" fontId="8" fillId="0" borderId="1" xfId="0" applyNumberFormat="1" applyFont="1" applyBorder="1" applyAlignment="1">
      <alignment horizontal="justify" vertical="center"/>
    </xf>
    <xf numFmtId="0" fontId="8" fillId="7" borderId="8" xfId="0" applyFont="1" applyFill="1" applyBorder="1" applyAlignment="1">
      <alignment horizontal="center" vertical="center"/>
    </xf>
    <xf numFmtId="43" fontId="8" fillId="0" borderId="8" xfId="9" applyFont="1" applyBorder="1" applyAlignment="1">
      <alignment horizontal="center" vertical="center" wrapText="1"/>
    </xf>
    <xf numFmtId="43" fontId="7" fillId="12" borderId="10" xfId="9" applyFont="1" applyFill="1" applyBorder="1" applyAlignment="1">
      <alignment horizontal="left" vertical="center"/>
    </xf>
    <xf numFmtId="1" fontId="7" fillId="12" borderId="10" xfId="0" applyNumberFormat="1" applyFont="1" applyFill="1" applyBorder="1" applyAlignment="1">
      <alignment horizontal="center" vertical="center"/>
    </xf>
    <xf numFmtId="9" fontId="8" fillId="7" borderId="4" xfId="11" applyFont="1" applyFill="1" applyBorder="1" applyAlignment="1">
      <alignment horizontal="center" vertical="center"/>
    </xf>
    <xf numFmtId="1" fontId="8" fillId="0" borderId="8" xfId="0" applyNumberFormat="1" applyFont="1" applyBorder="1" applyAlignment="1">
      <alignment horizontal="center" vertical="center" wrapText="1"/>
    </xf>
    <xf numFmtId="0" fontId="8" fillId="7" borderId="13" xfId="0" applyFont="1" applyFill="1" applyBorder="1" applyAlignment="1">
      <alignment vertical="center" wrapText="1"/>
    </xf>
    <xf numFmtId="43" fontId="8" fillId="0" borderId="8" xfId="9" applyFont="1" applyFill="1" applyBorder="1" applyAlignment="1">
      <alignment horizontal="center" vertical="center"/>
    </xf>
    <xf numFmtId="0" fontId="8" fillId="0" borderId="13" xfId="0" applyFont="1" applyFill="1" applyBorder="1" applyAlignment="1">
      <alignment horizontal="left" vertical="center" wrapText="1"/>
    </xf>
    <xf numFmtId="0" fontId="8" fillId="7" borderId="14" xfId="0" applyFont="1" applyFill="1" applyBorder="1" applyAlignment="1">
      <alignment vertical="center" wrapText="1"/>
    </xf>
    <xf numFmtId="0" fontId="8" fillId="7" borderId="13" xfId="0" applyFont="1" applyFill="1" applyBorder="1" applyAlignment="1">
      <alignment horizontal="justify" vertical="center" wrapText="1"/>
    </xf>
    <xf numFmtId="0" fontId="8" fillId="7" borderId="13" xfId="0" applyFont="1" applyFill="1" applyBorder="1" applyAlignment="1">
      <alignment horizontal="left" vertical="center" wrapText="1"/>
    </xf>
    <xf numFmtId="0" fontId="28" fillId="0" borderId="8" xfId="0" applyFont="1" applyBorder="1"/>
    <xf numFmtId="43" fontId="8" fillId="0" borderId="4" xfId="9" applyFont="1" applyBorder="1" applyAlignment="1">
      <alignment horizontal="center" vertical="center"/>
    </xf>
    <xf numFmtId="0" fontId="8" fillId="0" borderId="13" xfId="0" applyFont="1" applyBorder="1" applyAlignment="1">
      <alignment horizontal="left" vertical="top" wrapText="1" indent="1"/>
    </xf>
    <xf numFmtId="43" fontId="8" fillId="0" borderId="9" xfId="9" applyFont="1" applyBorder="1" applyAlignment="1">
      <alignment horizontal="center" vertical="center"/>
    </xf>
    <xf numFmtId="0" fontId="8" fillId="0" borderId="15" xfId="0" applyFont="1" applyBorder="1" applyAlignment="1">
      <alignment horizontal="justify" vertical="center" wrapText="1"/>
    </xf>
    <xf numFmtId="0" fontId="8" fillId="0" borderId="14" xfId="0" applyFont="1" applyBorder="1" applyAlignment="1">
      <alignment vertical="center" wrapText="1"/>
    </xf>
    <xf numFmtId="0" fontId="7" fillId="11" borderId="0" xfId="0" applyFont="1" applyFill="1" applyAlignment="1">
      <alignment vertical="center"/>
    </xf>
    <xf numFmtId="0" fontId="7" fillId="11" borderId="0" xfId="0" applyFont="1" applyFill="1" applyAlignment="1">
      <alignment horizontal="center" vertical="center"/>
    </xf>
    <xf numFmtId="0" fontId="7" fillId="11" borderId="0" xfId="0" applyFont="1" applyFill="1" applyAlignment="1">
      <alignment horizontal="justify" vertical="center" wrapText="1"/>
    </xf>
    <xf numFmtId="169" fontId="7" fillId="11" borderId="0" xfId="0" applyNumberFormat="1" applyFont="1" applyFill="1" applyAlignment="1">
      <alignment horizontal="center" vertical="center"/>
    </xf>
    <xf numFmtId="43" fontId="7" fillId="11" borderId="0" xfId="9" applyFont="1" applyFill="1" applyAlignment="1">
      <alignment vertical="center"/>
    </xf>
    <xf numFmtId="1" fontId="7" fillId="11" borderId="0" xfId="0" applyNumberFormat="1" applyFont="1" applyFill="1" applyAlignment="1">
      <alignment horizontal="center" vertical="center"/>
    </xf>
    <xf numFmtId="1" fontId="7" fillId="11" borderId="0" xfId="0" applyNumberFormat="1" applyFont="1" applyFill="1" applyAlignment="1">
      <alignment vertical="center"/>
    </xf>
    <xf numFmtId="1" fontId="28" fillId="11" borderId="0" xfId="0" applyNumberFormat="1" applyFont="1" applyFill="1"/>
    <xf numFmtId="0" fontId="28" fillId="9" borderId="0" xfId="0" applyFont="1" applyFill="1"/>
    <xf numFmtId="0" fontId="28" fillId="9" borderId="11" xfId="0" applyFont="1" applyFill="1" applyBorder="1" applyAlignment="1">
      <alignment horizontal="center" vertical="center"/>
    </xf>
    <xf numFmtId="0" fontId="7" fillId="7" borderId="7" xfId="0" applyFont="1" applyFill="1" applyBorder="1" applyAlignment="1">
      <alignment vertical="center" wrapText="1"/>
    </xf>
    <xf numFmtId="0" fontId="7" fillId="7" borderId="3" xfId="0" applyFont="1" applyFill="1" applyBorder="1" applyAlignment="1">
      <alignment vertical="center" wrapText="1"/>
    </xf>
    <xf numFmtId="0" fontId="7" fillId="7" borderId="6" xfId="0" applyFont="1" applyFill="1" applyBorder="1" applyAlignment="1">
      <alignment vertical="center" wrapText="1"/>
    </xf>
    <xf numFmtId="0" fontId="7" fillId="7" borderId="12" xfId="0" applyFont="1" applyFill="1" applyBorder="1" applyAlignment="1">
      <alignment vertical="center" wrapText="1"/>
    </xf>
    <xf numFmtId="0" fontId="7" fillId="7" borderId="0" xfId="0" applyFont="1" applyFill="1" applyAlignment="1">
      <alignment vertical="center" wrapText="1"/>
    </xf>
    <xf numFmtId="0" fontId="7" fillId="7" borderId="11" xfId="0" applyFont="1" applyFill="1" applyBorder="1" applyAlignment="1">
      <alignment vertical="center" wrapText="1"/>
    </xf>
    <xf numFmtId="43" fontId="8" fillId="0" borderId="8" xfId="9" applyFont="1" applyBorder="1" applyAlignment="1">
      <alignment horizontal="center" vertical="center"/>
    </xf>
    <xf numFmtId="1" fontId="7" fillId="7" borderId="12" xfId="0" applyNumberFormat="1" applyFont="1" applyFill="1" applyBorder="1" applyAlignment="1">
      <alignment vertical="center"/>
    </xf>
    <xf numFmtId="1" fontId="7" fillId="7" borderId="0" xfId="0" applyNumberFormat="1" applyFont="1" applyFill="1" applyAlignment="1">
      <alignment vertical="center"/>
    </xf>
    <xf numFmtId="1" fontId="7" fillId="7" borderId="11" xfId="0" applyNumberFormat="1" applyFont="1" applyFill="1" applyBorder="1" applyAlignment="1">
      <alignment vertical="center"/>
    </xf>
    <xf numFmtId="1" fontId="8" fillId="7" borderId="15" xfId="0" applyNumberFormat="1" applyFont="1" applyFill="1" applyBorder="1" applyAlignment="1">
      <alignment horizontal="center" vertical="center" wrapText="1"/>
    </xf>
    <xf numFmtId="1" fontId="8" fillId="7" borderId="6" xfId="0" applyNumberFormat="1" applyFont="1" applyFill="1" applyBorder="1" applyAlignment="1">
      <alignment horizontal="center" vertical="center" wrapText="1"/>
    </xf>
    <xf numFmtId="0" fontId="28" fillId="0" borderId="40" xfId="0" applyFont="1" applyBorder="1" applyAlignment="1">
      <alignment horizontal="center" vertical="center"/>
    </xf>
    <xf numFmtId="0" fontId="8" fillId="7" borderId="14" xfId="0" applyFont="1" applyFill="1" applyBorder="1" applyAlignment="1">
      <alignment horizontal="center" vertical="center"/>
    </xf>
    <xf numFmtId="0" fontId="8" fillId="0" borderId="13" xfId="0" applyFont="1" applyBorder="1" applyAlignment="1">
      <alignment horizontal="center" vertical="center"/>
    </xf>
    <xf numFmtId="0" fontId="8" fillId="7" borderId="13" xfId="0" applyFont="1" applyFill="1" applyBorder="1" applyAlignment="1">
      <alignment horizontal="justify" vertical="center"/>
    </xf>
    <xf numFmtId="9" fontId="8" fillId="0" borderId="13" xfId="13" applyFont="1" applyBorder="1" applyAlignment="1">
      <alignment horizontal="center" vertical="center"/>
    </xf>
    <xf numFmtId="43" fontId="8" fillId="7" borderId="13" xfId="9" applyFont="1" applyFill="1" applyBorder="1" applyAlignment="1">
      <alignment horizontal="center" vertical="center"/>
    </xf>
    <xf numFmtId="43" fontId="8" fillId="0" borderId="13" xfId="9" applyFont="1" applyBorder="1" applyAlignment="1">
      <alignment horizontal="center" vertical="center"/>
    </xf>
    <xf numFmtId="1" fontId="8" fillId="7" borderId="13" xfId="0" applyNumberFormat="1" applyFont="1" applyFill="1" applyBorder="1" applyAlignment="1">
      <alignment horizontal="center" vertical="center" wrapText="1"/>
    </xf>
    <xf numFmtId="1" fontId="8" fillId="7" borderId="13" xfId="0" applyNumberFormat="1" applyFont="1" applyFill="1" applyBorder="1" applyAlignment="1">
      <alignment horizontal="center" vertical="center"/>
    </xf>
    <xf numFmtId="1" fontId="8" fillId="7" borderId="12" xfId="0" applyNumberFormat="1" applyFont="1" applyFill="1" applyBorder="1" applyAlignment="1">
      <alignment horizontal="center" vertical="center"/>
    </xf>
    <xf numFmtId="1" fontId="28" fillId="0" borderId="13" xfId="0" applyNumberFormat="1" applyFont="1" applyBorder="1" applyAlignment="1">
      <alignment horizontal="center" vertical="center"/>
    </xf>
    <xf numFmtId="0" fontId="28" fillId="0" borderId="13" xfId="0" applyFont="1" applyBorder="1" applyAlignment="1">
      <alignment horizontal="center" vertical="center"/>
    </xf>
    <xf numFmtId="14" fontId="28" fillId="0" borderId="13" xfId="0" applyNumberFormat="1" applyFont="1" applyBorder="1" applyAlignment="1">
      <alignment vertical="center"/>
    </xf>
    <xf numFmtId="0" fontId="28" fillId="0" borderId="13" xfId="0" applyFont="1" applyBorder="1" applyAlignment="1">
      <alignment horizontal="center" vertical="center" wrapText="1"/>
    </xf>
    <xf numFmtId="169" fontId="7" fillId="12" borderId="10" xfId="0" applyNumberFormat="1" applyFont="1" applyFill="1" applyBorder="1" applyAlignment="1">
      <alignment horizontal="center" vertical="center"/>
    </xf>
    <xf numFmtId="167" fontId="7" fillId="12" borderId="10" xfId="0" applyNumberFormat="1" applyFont="1" applyFill="1" applyBorder="1" applyAlignment="1">
      <alignment horizontal="center" vertical="center"/>
    </xf>
    <xf numFmtId="166" fontId="7" fillId="12" borderId="10" xfId="0" applyNumberFormat="1" applyFont="1" applyFill="1" applyBorder="1" applyAlignment="1">
      <alignment horizontal="center" vertical="center"/>
    </xf>
    <xf numFmtId="0" fontId="28" fillId="12" borderId="1" xfId="0" applyFont="1" applyFill="1" applyBorder="1" applyAlignment="1">
      <alignment wrapText="1"/>
    </xf>
    <xf numFmtId="0" fontId="7" fillId="11" borderId="3" xfId="0" applyFont="1" applyFill="1" applyBorder="1" applyAlignment="1">
      <alignment horizontal="justify" vertical="center" wrapText="1"/>
    </xf>
    <xf numFmtId="43" fontId="7" fillId="11" borderId="3" xfId="9" applyFont="1" applyFill="1" applyBorder="1" applyAlignment="1">
      <alignment horizontal="justify" vertical="center"/>
    </xf>
    <xf numFmtId="1" fontId="7" fillId="11" borderId="3" xfId="0" applyNumberFormat="1" applyFont="1" applyFill="1" applyBorder="1" applyAlignment="1">
      <alignment horizontal="center" vertical="center"/>
    </xf>
    <xf numFmtId="0" fontId="7" fillId="12" borderId="10" xfId="0" applyFont="1" applyFill="1" applyBorder="1" applyAlignment="1">
      <alignment vertical="center" wrapText="1"/>
    </xf>
    <xf numFmtId="0" fontId="7" fillId="12" borderId="10" xfId="0" applyFont="1" applyFill="1" applyBorder="1" applyAlignment="1">
      <alignment horizontal="center" vertical="center" wrapText="1"/>
    </xf>
    <xf numFmtId="0" fontId="8" fillId="0" borderId="14" xfId="0" applyFont="1" applyFill="1" applyBorder="1" applyAlignment="1">
      <alignment horizontal="justify" vertical="center"/>
    </xf>
    <xf numFmtId="43" fontId="8" fillId="0" borderId="14" xfId="9" applyFont="1" applyFill="1" applyBorder="1" applyAlignment="1">
      <alignment horizontal="center" vertical="center"/>
    </xf>
    <xf numFmtId="0" fontId="7" fillId="7" borderId="1" xfId="0" applyFont="1" applyFill="1" applyBorder="1" applyAlignment="1">
      <alignment horizontal="justify" vertical="center"/>
    </xf>
    <xf numFmtId="0" fontId="7" fillId="7" borderId="1" xfId="0" applyFont="1" applyFill="1" applyBorder="1" applyAlignment="1">
      <alignment horizontal="center" vertical="center"/>
    </xf>
    <xf numFmtId="0" fontId="7" fillId="7" borderId="1" xfId="0" applyFont="1" applyFill="1" applyBorder="1" applyAlignment="1">
      <alignment horizontal="center" vertical="center" wrapText="1"/>
    </xf>
    <xf numFmtId="9" fontId="7" fillId="7" borderId="1" xfId="11" applyFont="1" applyFill="1" applyBorder="1" applyAlignment="1">
      <alignment horizontal="center" vertical="center"/>
    </xf>
    <xf numFmtId="43" fontId="7" fillId="7" borderId="1" xfId="9" applyFont="1" applyFill="1" applyBorder="1" applyAlignment="1">
      <alignment horizontal="center" vertical="center"/>
    </xf>
    <xf numFmtId="43" fontId="7" fillId="0" borderId="1" xfId="9" applyFont="1" applyBorder="1" applyAlignment="1">
      <alignment horizontal="center" vertical="center"/>
    </xf>
    <xf numFmtId="165" fontId="7" fillId="7" borderId="1" xfId="0" applyNumberFormat="1" applyFont="1" applyFill="1" applyBorder="1" applyAlignment="1">
      <alignment horizontal="center" vertical="center"/>
    </xf>
    <xf numFmtId="165" fontId="7" fillId="7" borderId="1" xfId="0" applyNumberFormat="1" applyFont="1" applyFill="1" applyBorder="1" applyAlignment="1">
      <alignment horizontal="justify" vertical="center"/>
    </xf>
    <xf numFmtId="14" fontId="27" fillId="0" borderId="1" xfId="0" applyNumberFormat="1" applyFont="1" applyBorder="1" applyAlignment="1">
      <alignment vertical="center"/>
    </xf>
    <xf numFmtId="0" fontId="27" fillId="0" borderId="1" xfId="0" applyFont="1" applyBorder="1" applyAlignment="1">
      <alignment horizontal="justify" vertical="center" wrapText="1"/>
    </xf>
    <xf numFmtId="0" fontId="27" fillId="0" borderId="0" xfId="0" applyFont="1"/>
    <xf numFmtId="1" fontId="8" fillId="0" borderId="0" xfId="0" applyNumberFormat="1" applyFont="1"/>
    <xf numFmtId="0" fontId="8" fillId="0" borderId="0" xfId="0" applyFont="1" applyAlignment="1">
      <alignment horizontal="justify" vertical="center"/>
    </xf>
    <xf numFmtId="0" fontId="8" fillId="0" borderId="0" xfId="0" applyFont="1" applyAlignment="1">
      <alignment horizontal="justify"/>
    </xf>
    <xf numFmtId="0" fontId="8" fillId="0" borderId="0" xfId="0" applyFont="1" applyAlignment="1">
      <alignment horizontal="center"/>
    </xf>
    <xf numFmtId="169" fontId="8" fillId="0" borderId="0" xfId="0" applyNumberFormat="1" applyFont="1" applyAlignment="1">
      <alignment horizontal="center" vertical="center"/>
    </xf>
    <xf numFmtId="165" fontId="8" fillId="0" borderId="0" xfId="14" applyNumberFormat="1" applyFont="1" applyAlignment="1">
      <alignment horizontal="center" vertical="center"/>
    </xf>
    <xf numFmtId="165" fontId="8" fillId="0" borderId="0" xfId="0" applyNumberFormat="1" applyFont="1" applyAlignment="1">
      <alignment horizontal="center" vertical="center"/>
    </xf>
    <xf numFmtId="0" fontId="28" fillId="0" borderId="0" xfId="0" applyFont="1" applyAlignment="1">
      <alignment horizontal="justify"/>
    </xf>
    <xf numFmtId="3" fontId="8" fillId="0" borderId="0" xfId="0" applyNumberFormat="1" applyFont="1" applyAlignment="1">
      <alignment horizontal="right" vertical="center"/>
    </xf>
    <xf numFmtId="4" fontId="8" fillId="0" borderId="0" xfId="0" applyNumberFormat="1" applyFont="1" applyAlignment="1">
      <alignment horizontal="justify" vertical="center"/>
    </xf>
    <xf numFmtId="43" fontId="8" fillId="0" borderId="0" xfId="0" applyNumberFormat="1" applyFont="1" applyAlignment="1">
      <alignment horizontal="justify" vertical="center"/>
    </xf>
    <xf numFmtId="42" fontId="8" fillId="0" borderId="0" xfId="14" applyFont="1" applyAlignment="1">
      <alignment horizontal="justify"/>
    </xf>
    <xf numFmtId="165" fontId="8" fillId="0" borderId="0" xfId="0" applyNumberFormat="1" applyFont="1" applyAlignment="1">
      <alignment horizontal="justify"/>
    </xf>
    <xf numFmtId="0" fontId="8" fillId="0" borderId="0" xfId="0" applyFont="1" applyAlignment="1">
      <alignment horizontal="center" wrapText="1"/>
    </xf>
    <xf numFmtId="0" fontId="30" fillId="0" borderId="1" xfId="0" applyFont="1" applyBorder="1" applyAlignment="1" applyProtection="1">
      <alignment vertical="center"/>
    </xf>
    <xf numFmtId="0" fontId="31" fillId="0" borderId="0" xfId="0" applyFont="1" applyProtection="1"/>
    <xf numFmtId="0" fontId="30" fillId="0" borderId="1" xfId="0" applyFont="1" applyBorder="1" applyAlignment="1" applyProtection="1">
      <alignment horizontal="left" vertical="center"/>
    </xf>
    <xf numFmtId="0" fontId="30" fillId="0" borderId="1" xfId="0" applyFont="1" applyBorder="1" applyAlignment="1" applyProtection="1">
      <alignment vertical="center" wrapText="1"/>
    </xf>
    <xf numFmtId="3" fontId="5" fillId="0" borderId="1" xfId="0" applyNumberFormat="1" applyFont="1" applyBorder="1" applyAlignment="1" applyProtection="1">
      <alignment horizontal="left" vertical="center" wrapText="1"/>
    </xf>
    <xf numFmtId="0" fontId="30" fillId="0" borderId="4" xfId="0" applyFont="1" applyBorder="1" applyAlignment="1" applyProtection="1">
      <alignment vertical="center"/>
    </xf>
    <xf numFmtId="0" fontId="30" fillId="0" borderId="2" xfId="0" applyFont="1" applyBorder="1" applyAlignment="1" applyProtection="1">
      <alignment vertical="center"/>
    </xf>
    <xf numFmtId="0" fontId="30" fillId="0" borderId="5" xfId="0" applyFont="1" applyBorder="1" applyAlignment="1" applyProtection="1">
      <alignment vertical="center"/>
    </xf>
    <xf numFmtId="0" fontId="20" fillId="0" borderId="0" xfId="0" applyFont="1" applyAlignment="1" applyProtection="1">
      <alignment horizontal="justify" vertical="center"/>
    </xf>
    <xf numFmtId="0" fontId="20" fillId="0" borderId="0" xfId="0" applyFont="1" applyProtection="1"/>
    <xf numFmtId="0" fontId="30" fillId="14" borderId="1" xfId="0" applyFont="1" applyFill="1" applyBorder="1" applyAlignment="1" applyProtection="1">
      <alignment horizontal="center" vertical="center" textRotation="90" wrapText="1"/>
    </xf>
    <xf numFmtId="49" fontId="30" fillId="14" borderId="1" xfId="0" applyNumberFormat="1" applyFont="1" applyFill="1" applyBorder="1" applyAlignment="1" applyProtection="1">
      <alignment horizontal="center" vertical="center" textRotation="90" wrapText="1"/>
    </xf>
    <xf numFmtId="0" fontId="30" fillId="10" borderId="41" xfId="0" applyFont="1" applyFill="1" applyBorder="1" applyAlignment="1" applyProtection="1">
      <alignment horizontal="center" vertical="center" wrapText="1"/>
    </xf>
    <xf numFmtId="0" fontId="30" fillId="10" borderId="4" xfId="0" applyFont="1" applyFill="1" applyBorder="1" applyAlignment="1" applyProtection="1">
      <alignment horizontal="left" vertical="center"/>
    </xf>
    <xf numFmtId="0" fontId="30" fillId="10" borderId="2" xfId="0" applyFont="1" applyFill="1" applyBorder="1" applyAlignment="1" applyProtection="1">
      <alignment horizontal="left" vertical="center" wrapText="1"/>
    </xf>
    <xf numFmtId="0" fontId="30" fillId="10" borderId="2" xfId="0" applyFont="1" applyFill="1" applyBorder="1" applyAlignment="1" applyProtection="1">
      <alignment horizontal="justify" vertical="center" wrapText="1"/>
    </xf>
    <xf numFmtId="0" fontId="30" fillId="10" borderId="2" xfId="0" applyFont="1" applyFill="1" applyBorder="1" applyAlignment="1" applyProtection="1">
      <alignment horizontal="center" vertical="center" wrapText="1"/>
    </xf>
    <xf numFmtId="0" fontId="30" fillId="10" borderId="42" xfId="0" applyFont="1" applyFill="1" applyBorder="1" applyAlignment="1" applyProtection="1">
      <alignment horizontal="justify" vertical="center" wrapText="1"/>
    </xf>
    <xf numFmtId="0" fontId="30" fillId="7" borderId="43" xfId="0" applyFont="1" applyFill="1" applyBorder="1" applyAlignment="1" applyProtection="1">
      <alignment vertical="center" wrapText="1"/>
    </xf>
    <xf numFmtId="0" fontId="30" fillId="7" borderId="6" xfId="0" applyFont="1" applyFill="1" applyBorder="1" applyAlignment="1" applyProtection="1">
      <alignment vertical="center" wrapText="1"/>
    </xf>
    <xf numFmtId="0" fontId="30" fillId="11" borderId="15" xfId="0" applyFont="1" applyFill="1" applyBorder="1" applyAlignment="1" applyProtection="1">
      <alignment horizontal="center" vertical="center" wrapText="1"/>
    </xf>
    <xf numFmtId="0" fontId="30" fillId="11" borderId="9" xfId="0" applyFont="1" applyFill="1" applyBorder="1" applyAlignment="1" applyProtection="1">
      <alignment vertical="center"/>
    </xf>
    <xf numFmtId="0" fontId="30" fillId="11" borderId="3" xfId="0" applyFont="1" applyFill="1" applyBorder="1" applyAlignment="1" applyProtection="1">
      <alignment vertical="center"/>
    </xf>
    <xf numFmtId="0" fontId="30" fillId="11" borderId="0" xfId="0" applyFont="1" applyFill="1" applyAlignment="1" applyProtection="1">
      <alignment vertical="center"/>
    </xf>
    <xf numFmtId="0" fontId="30" fillId="11" borderId="0" xfId="0" applyFont="1" applyFill="1" applyAlignment="1" applyProtection="1">
      <alignment horizontal="justify" vertical="center"/>
    </xf>
    <xf numFmtId="0" fontId="30" fillId="11" borderId="0" xfId="0" applyFont="1" applyFill="1" applyAlignment="1" applyProtection="1">
      <alignment horizontal="center" vertical="center"/>
    </xf>
    <xf numFmtId="0" fontId="30" fillId="11" borderId="44" xfId="0" applyFont="1" applyFill="1" applyBorder="1" applyAlignment="1" applyProtection="1">
      <alignment horizontal="justify" vertical="center"/>
    </xf>
    <xf numFmtId="0" fontId="30" fillId="7" borderId="28" xfId="0" applyFont="1" applyFill="1" applyBorder="1" applyAlignment="1" applyProtection="1">
      <alignment vertical="center" wrapText="1"/>
    </xf>
    <xf numFmtId="0" fontId="30" fillId="7" borderId="11" xfId="0" applyFont="1" applyFill="1" applyBorder="1" applyAlignment="1" applyProtection="1">
      <alignment vertical="center" wrapText="1"/>
    </xf>
    <xf numFmtId="0" fontId="30" fillId="7" borderId="0" xfId="0" applyFont="1" applyFill="1" applyBorder="1" applyAlignment="1" applyProtection="1">
      <alignment vertical="center" wrapText="1"/>
    </xf>
    <xf numFmtId="0" fontId="30" fillId="12" borderId="1" xfId="0" applyFont="1" applyFill="1" applyBorder="1" applyAlignment="1" applyProtection="1">
      <alignment horizontal="center" vertical="center" wrapText="1"/>
    </xf>
    <xf numFmtId="0" fontId="7" fillId="12" borderId="9" xfId="0" applyFont="1" applyFill="1" applyBorder="1" applyAlignment="1" applyProtection="1">
      <alignment horizontal="left" vertical="center"/>
    </xf>
    <xf numFmtId="0" fontId="7" fillId="12" borderId="10" xfId="0" applyFont="1" applyFill="1" applyBorder="1" applyAlignment="1" applyProtection="1">
      <alignment horizontal="left" vertical="center"/>
    </xf>
    <xf numFmtId="0" fontId="7" fillId="12" borderId="10" xfId="0" applyFont="1" applyFill="1" applyBorder="1" applyAlignment="1" applyProtection="1">
      <alignment horizontal="justify" vertical="center"/>
    </xf>
    <xf numFmtId="0" fontId="7" fillId="12" borderId="10" xfId="0" applyFont="1" applyFill="1" applyBorder="1" applyAlignment="1" applyProtection="1">
      <alignment horizontal="center" vertical="center"/>
    </xf>
    <xf numFmtId="0" fontId="8" fillId="12" borderId="15" xfId="0" applyFont="1" applyFill="1" applyBorder="1" applyAlignment="1" applyProtection="1">
      <alignment horizontal="justify" vertical="center"/>
    </xf>
    <xf numFmtId="0" fontId="18" fillId="7" borderId="1" xfId="0" applyFont="1" applyFill="1" applyBorder="1" applyAlignment="1" applyProtection="1">
      <alignment horizontal="justify" vertical="center" wrapText="1"/>
    </xf>
    <xf numFmtId="3" fontId="13" fillId="7" borderId="8" xfId="15" applyNumberFormat="1" applyFont="1" applyFill="1" applyBorder="1" applyAlignment="1" applyProtection="1">
      <alignment horizontal="center" vertical="center" wrapText="1"/>
    </xf>
    <xf numFmtId="0" fontId="18" fillId="7" borderId="8" xfId="0" applyFont="1" applyFill="1" applyBorder="1" applyAlignment="1" applyProtection="1">
      <alignment horizontal="justify" vertical="center" wrapText="1"/>
    </xf>
    <xf numFmtId="0" fontId="13" fillId="7" borderId="1" xfId="0" applyFont="1" applyFill="1" applyBorder="1" applyAlignment="1" applyProtection="1">
      <alignment horizontal="justify" vertical="center" wrapText="1"/>
    </xf>
    <xf numFmtId="0" fontId="30" fillId="7" borderId="2" xfId="0" applyFont="1" applyFill="1" applyBorder="1" applyAlignment="1" applyProtection="1">
      <alignment vertical="center" wrapText="1"/>
    </xf>
    <xf numFmtId="0" fontId="30" fillId="7" borderId="5" xfId="0" applyFont="1" applyFill="1" applyBorder="1" applyAlignment="1" applyProtection="1">
      <alignment vertical="center" wrapText="1"/>
    </xf>
    <xf numFmtId="3" fontId="13" fillId="7" borderId="1" xfId="15" applyNumberFormat="1" applyFont="1" applyFill="1" applyBorder="1" applyAlignment="1" applyProtection="1">
      <alignment horizontal="center" vertical="center" wrapText="1"/>
    </xf>
    <xf numFmtId="0" fontId="30" fillId="11" borderId="9" xfId="0" applyFont="1" applyFill="1" applyBorder="1" applyAlignment="1" applyProtection="1">
      <alignment horizontal="left" vertical="center"/>
    </xf>
    <xf numFmtId="0" fontId="30" fillId="11" borderId="10" xfId="0" applyFont="1" applyFill="1" applyBorder="1" applyAlignment="1" applyProtection="1">
      <alignment horizontal="justify" vertical="center"/>
    </xf>
    <xf numFmtId="174" fontId="30" fillId="11" borderId="10" xfId="0" applyNumberFormat="1" applyFont="1" applyFill="1" applyBorder="1" applyAlignment="1" applyProtection="1">
      <alignment horizontal="left" vertical="center"/>
    </xf>
    <xf numFmtId="43" fontId="30" fillId="11" borderId="10" xfId="1" applyFont="1" applyFill="1" applyBorder="1" applyAlignment="1" applyProtection="1">
      <alignment horizontal="left" vertical="center"/>
    </xf>
    <xf numFmtId="3" fontId="30" fillId="11" borderId="10" xfId="16" applyNumberFormat="1" applyFont="1" applyFill="1" applyBorder="1" applyAlignment="1" applyProtection="1">
      <alignment horizontal="center" vertical="center"/>
    </xf>
    <xf numFmtId="0" fontId="20" fillId="11" borderId="1" xfId="0" applyFont="1" applyFill="1" applyBorder="1" applyAlignment="1" applyProtection="1">
      <alignment horizontal="center" vertical="center"/>
    </xf>
    <xf numFmtId="174" fontId="7" fillId="12" borderId="10" xfId="0" applyNumberFormat="1" applyFont="1" applyFill="1" applyBorder="1" applyAlignment="1" applyProtection="1">
      <alignment horizontal="left" vertical="center"/>
    </xf>
    <xf numFmtId="43" fontId="7" fillId="12" borderId="10" xfId="1" applyFont="1" applyFill="1" applyBorder="1" applyAlignment="1" applyProtection="1">
      <alignment horizontal="left" vertical="center"/>
    </xf>
    <xf numFmtId="3" fontId="7" fillId="12" borderId="10" xfId="16" applyNumberFormat="1" applyFont="1" applyFill="1" applyBorder="1" applyAlignment="1" applyProtection="1">
      <alignment horizontal="center" vertical="center"/>
    </xf>
    <xf numFmtId="0" fontId="8" fillId="12" borderId="1" xfId="0" applyFont="1" applyFill="1" applyBorder="1" applyAlignment="1" applyProtection="1">
      <alignment horizontal="center" vertical="center"/>
    </xf>
    <xf numFmtId="0" fontId="20" fillId="7" borderId="7" xfId="0" applyFont="1" applyFill="1" applyBorder="1" applyAlignment="1" applyProtection="1">
      <alignment vertical="center" wrapText="1"/>
    </xf>
    <xf numFmtId="0" fontId="20" fillId="7" borderId="6" xfId="0" applyFont="1" applyFill="1" applyBorder="1" applyAlignment="1" applyProtection="1">
      <alignment vertical="center" wrapText="1"/>
    </xf>
    <xf numFmtId="3" fontId="13" fillId="7" borderId="2" xfId="15" applyNumberFormat="1" applyFont="1" applyFill="1" applyBorder="1" applyAlignment="1" applyProtection="1">
      <alignment horizontal="center" vertical="center" wrapText="1"/>
    </xf>
    <xf numFmtId="0" fontId="20" fillId="7" borderId="12" xfId="0" applyFont="1" applyFill="1" applyBorder="1" applyAlignment="1" applyProtection="1">
      <alignment vertical="center" wrapText="1"/>
    </xf>
    <xf numFmtId="0" fontId="20" fillId="7" borderId="11" xfId="0" applyFont="1" applyFill="1" applyBorder="1" applyAlignment="1" applyProtection="1">
      <alignment vertical="center" wrapText="1"/>
    </xf>
    <xf numFmtId="3" fontId="13" fillId="0" borderId="2" xfId="15" applyNumberFormat="1" applyFont="1" applyBorder="1" applyAlignment="1" applyProtection="1">
      <alignment horizontal="center" vertical="center" wrapText="1"/>
    </xf>
    <xf numFmtId="3" fontId="13" fillId="7" borderId="4" xfId="15" applyNumberFormat="1" applyFont="1" applyFill="1" applyBorder="1" applyAlignment="1" applyProtection="1">
      <alignment horizontal="center" vertical="center" wrapText="1"/>
    </xf>
    <xf numFmtId="3" fontId="13" fillId="7" borderId="7" xfId="15" applyNumberFormat="1" applyFont="1" applyFill="1" applyBorder="1" applyAlignment="1" applyProtection="1">
      <alignment horizontal="center" vertical="center" wrapText="1"/>
    </xf>
    <xf numFmtId="0" fontId="7" fillId="12" borderId="3" xfId="0" applyFont="1" applyFill="1" applyBorder="1" applyAlignment="1" applyProtection="1">
      <alignment horizontal="left" vertical="center"/>
    </xf>
    <xf numFmtId="0" fontId="7" fillId="12" borderId="3" xfId="0" applyFont="1" applyFill="1" applyBorder="1" applyAlignment="1" applyProtection="1">
      <alignment horizontal="justify" vertical="center"/>
    </xf>
    <xf numFmtId="0" fontId="20" fillId="7" borderId="0" xfId="0" applyFont="1" applyFill="1" applyBorder="1" applyAlignment="1" applyProtection="1">
      <alignment vertical="center" wrapText="1"/>
    </xf>
    <xf numFmtId="175" fontId="20" fillId="7" borderId="8" xfId="0" applyNumberFormat="1" applyFont="1" applyFill="1" applyBorder="1" applyAlignment="1" applyProtection="1">
      <alignment vertical="center" wrapText="1"/>
    </xf>
    <xf numFmtId="175" fontId="20" fillId="7" borderId="13" xfId="0" applyNumberFormat="1" applyFont="1" applyFill="1" applyBorder="1" applyAlignment="1" applyProtection="1">
      <alignment vertical="center" wrapText="1"/>
    </xf>
    <xf numFmtId="3" fontId="13" fillId="7" borderId="9" xfId="15" applyNumberFormat="1" applyFont="1" applyFill="1" applyBorder="1" applyAlignment="1" applyProtection="1">
      <alignment horizontal="center" vertical="center" wrapText="1"/>
    </xf>
    <xf numFmtId="0" fontId="18" fillId="7" borderId="7" xfId="0" applyFont="1" applyFill="1" applyBorder="1" applyAlignment="1" applyProtection="1">
      <alignment horizontal="justify" vertical="center" wrapText="1"/>
    </xf>
    <xf numFmtId="0" fontId="20" fillId="7" borderId="4" xfId="0" applyFont="1" applyFill="1" applyBorder="1" applyAlignment="1" applyProtection="1">
      <alignment vertical="center" wrapText="1"/>
    </xf>
    <xf numFmtId="0" fontId="20" fillId="7" borderId="2" xfId="0" applyFont="1" applyFill="1" applyBorder="1" applyAlignment="1" applyProtection="1">
      <alignment vertical="center" wrapText="1"/>
    </xf>
    <xf numFmtId="175" fontId="20" fillId="7" borderId="14" xfId="0" applyNumberFormat="1" applyFont="1" applyFill="1" applyBorder="1" applyAlignment="1" applyProtection="1">
      <alignment vertical="center" wrapText="1"/>
    </xf>
    <xf numFmtId="0" fontId="13" fillId="7" borderId="9" xfId="0" applyFont="1" applyFill="1" applyBorder="1" applyAlignment="1" applyProtection="1">
      <alignment horizontal="justify" vertical="center" wrapText="1"/>
    </xf>
    <xf numFmtId="0" fontId="20" fillId="0" borderId="0" xfId="0" applyFont="1" applyBorder="1" applyAlignment="1" applyProtection="1">
      <alignment wrapText="1"/>
    </xf>
    <xf numFmtId="0" fontId="20" fillId="0" borderId="11" xfId="0" applyFont="1" applyBorder="1" applyAlignment="1" applyProtection="1">
      <alignment wrapText="1"/>
    </xf>
    <xf numFmtId="0" fontId="30" fillId="12" borderId="13" xfId="0" applyFont="1" applyFill="1" applyBorder="1" applyAlignment="1" applyProtection="1">
      <alignment horizontal="center" vertical="center" wrapText="1"/>
    </xf>
    <xf numFmtId="43" fontId="7" fillId="12" borderId="1" xfId="16" applyFont="1" applyFill="1" applyBorder="1" applyAlignment="1" applyProtection="1">
      <alignment horizontal="center" vertical="center"/>
    </xf>
    <xf numFmtId="0" fontId="32" fillId="12" borderId="10" xfId="0" applyFont="1" applyFill="1" applyBorder="1" applyAlignment="1" applyProtection="1">
      <alignment horizontal="left" vertical="center"/>
    </xf>
    <xf numFmtId="0" fontId="33" fillId="7" borderId="1" xfId="0" applyFont="1" applyFill="1" applyBorder="1" applyAlignment="1" applyProtection="1">
      <alignment horizontal="justify" vertical="center" wrapText="1"/>
    </xf>
    <xf numFmtId="0" fontId="20" fillId="0" borderId="0" xfId="0" applyFont="1" applyBorder="1" applyProtection="1"/>
    <xf numFmtId="0" fontId="20" fillId="0" borderId="11" xfId="0" applyFont="1" applyBorder="1" applyProtection="1"/>
    <xf numFmtId="0" fontId="12" fillId="11" borderId="15" xfId="0" applyFont="1" applyFill="1" applyBorder="1" applyAlignment="1" applyProtection="1">
      <alignment horizontal="center" vertical="center" wrapText="1"/>
    </xf>
    <xf numFmtId="0" fontId="12" fillId="11" borderId="9" xfId="0" applyFont="1" applyFill="1" applyBorder="1" applyAlignment="1" applyProtection="1">
      <alignment vertical="center"/>
    </xf>
    <xf numFmtId="0" fontId="12" fillId="11" borderId="0" xfId="0" applyFont="1" applyFill="1" applyAlignment="1" applyProtection="1">
      <alignment vertical="center"/>
    </xf>
    <xf numFmtId="0" fontId="12" fillId="11" borderId="0" xfId="0" applyFont="1" applyFill="1" applyAlignment="1" applyProtection="1">
      <alignment horizontal="justify" vertical="center"/>
    </xf>
    <xf numFmtId="174" fontId="12" fillId="11" borderId="0" xfId="0" applyNumberFormat="1" applyFont="1" applyFill="1" applyAlignment="1" applyProtection="1">
      <alignment vertical="center"/>
    </xf>
    <xf numFmtId="43" fontId="12" fillId="11" borderId="0" xfId="1" applyFont="1" applyFill="1" applyAlignment="1" applyProtection="1">
      <alignment vertical="center"/>
    </xf>
    <xf numFmtId="0" fontId="12" fillId="11" borderId="44" xfId="0" applyFont="1" applyFill="1" applyBorder="1" applyAlignment="1" applyProtection="1">
      <alignment horizontal="justify" vertical="center"/>
    </xf>
    <xf numFmtId="0" fontId="12" fillId="12" borderId="1" xfId="0" applyFont="1" applyFill="1" applyBorder="1" applyAlignment="1" applyProtection="1">
      <alignment horizontal="center" vertical="center" wrapText="1"/>
    </xf>
    <xf numFmtId="0" fontId="26" fillId="12" borderId="9" xfId="0" applyFont="1" applyFill="1" applyBorder="1" applyAlignment="1" applyProtection="1">
      <alignment horizontal="left" vertical="center"/>
    </xf>
    <xf numFmtId="0" fontId="26" fillId="12" borderId="10" xfId="0" applyFont="1" applyFill="1" applyBorder="1" applyAlignment="1" applyProtection="1">
      <alignment horizontal="left" vertical="center"/>
    </xf>
    <xf numFmtId="0" fontId="26" fillId="12" borderId="10" xfId="0" applyFont="1" applyFill="1" applyBorder="1" applyAlignment="1" applyProtection="1">
      <alignment horizontal="justify" vertical="center" wrapText="1"/>
    </xf>
    <xf numFmtId="0" fontId="26" fillId="12" borderId="10" xfId="0" applyFont="1" applyFill="1" applyBorder="1" applyAlignment="1" applyProtection="1">
      <alignment horizontal="justify" vertical="center"/>
    </xf>
    <xf numFmtId="174" fontId="26" fillId="12" borderId="10" xfId="0" applyNumberFormat="1" applyFont="1" applyFill="1" applyBorder="1" applyAlignment="1" applyProtection="1">
      <alignment horizontal="left" vertical="center"/>
    </xf>
    <xf numFmtId="43" fontId="26" fillId="12" borderId="10" xfId="1" applyFont="1" applyFill="1" applyBorder="1" applyAlignment="1" applyProtection="1">
      <alignment horizontal="left" vertical="center"/>
    </xf>
    <xf numFmtId="0" fontId="16" fillId="12" borderId="15" xfId="0" applyFont="1" applyFill="1" applyBorder="1" applyAlignment="1" applyProtection="1">
      <alignment horizontal="justify" vertical="center"/>
    </xf>
    <xf numFmtId="0" fontId="13" fillId="7" borderId="7" xfId="0" applyFont="1" applyFill="1" applyBorder="1" applyAlignment="1" applyProtection="1">
      <alignment vertical="center" wrapText="1"/>
    </xf>
    <xf numFmtId="0" fontId="13" fillId="7" borderId="11" xfId="0" applyFont="1" applyFill="1" applyBorder="1" applyAlignment="1" applyProtection="1">
      <alignment vertical="center" wrapText="1"/>
    </xf>
    <xf numFmtId="0" fontId="16" fillId="7" borderId="1" xfId="0" applyFont="1" applyFill="1" applyBorder="1" applyAlignment="1" applyProtection="1">
      <alignment horizontal="justify" vertical="center" wrapText="1"/>
    </xf>
    <xf numFmtId="0" fontId="13" fillId="7" borderId="12" xfId="0" applyFont="1" applyFill="1" applyBorder="1" applyAlignment="1" applyProtection="1">
      <alignment vertical="center" wrapText="1"/>
    </xf>
    <xf numFmtId="0" fontId="26" fillId="12" borderId="3" xfId="0" applyFont="1" applyFill="1" applyBorder="1" applyAlignment="1" applyProtection="1">
      <alignment horizontal="left" vertical="center"/>
    </xf>
    <xf numFmtId="0" fontId="13" fillId="7" borderId="6" xfId="0" applyFont="1" applyFill="1" applyBorder="1" applyAlignment="1" applyProtection="1">
      <alignment vertical="center" wrapText="1"/>
    </xf>
    <xf numFmtId="0" fontId="16" fillId="7" borderId="1" xfId="19" applyFont="1" applyFill="1" applyBorder="1" applyAlignment="1" applyProtection="1">
      <alignment horizontal="justify" vertical="center" wrapText="1"/>
    </xf>
    <xf numFmtId="0" fontId="16" fillId="0" borderId="1" xfId="19" applyFont="1" applyBorder="1" applyAlignment="1" applyProtection="1">
      <alignment horizontal="justify" vertical="center" wrapText="1"/>
    </xf>
    <xf numFmtId="0" fontId="16" fillId="0" borderId="1" xfId="19" applyFont="1" applyFill="1" applyBorder="1" applyAlignment="1" applyProtection="1">
      <alignment horizontal="justify" vertical="center" wrapText="1"/>
    </xf>
    <xf numFmtId="0" fontId="12" fillId="11" borderId="1" xfId="0" applyFont="1" applyFill="1" applyBorder="1" applyAlignment="1" applyProtection="1">
      <alignment horizontal="left" vertical="center"/>
    </xf>
    <xf numFmtId="0" fontId="12" fillId="11" borderId="10" xfId="0" applyFont="1" applyFill="1" applyBorder="1" applyAlignment="1" applyProtection="1">
      <alignment vertical="center" wrapText="1"/>
    </xf>
    <xf numFmtId="0" fontId="12" fillId="11" borderId="9" xfId="0" applyFont="1" applyFill="1" applyBorder="1" applyAlignment="1" applyProtection="1">
      <alignment vertical="center" wrapText="1"/>
    </xf>
    <xf numFmtId="9" fontId="12" fillId="11" borderId="10" xfId="0" applyNumberFormat="1" applyFont="1" applyFill="1" applyBorder="1" applyAlignment="1" applyProtection="1">
      <alignment vertical="center" wrapText="1"/>
    </xf>
    <xf numFmtId="43" fontId="12" fillId="11" borderId="10" xfId="1" applyFont="1" applyFill="1" applyBorder="1" applyAlignment="1" applyProtection="1">
      <alignment vertical="center" wrapText="1"/>
    </xf>
    <xf numFmtId="0" fontId="12" fillId="11" borderId="15" xfId="0" applyFont="1" applyFill="1" applyBorder="1" applyAlignment="1" applyProtection="1">
      <alignment vertical="center" wrapText="1"/>
    </xf>
    <xf numFmtId="0" fontId="13" fillId="7" borderId="0" xfId="0" applyFont="1" applyFill="1" applyBorder="1" applyAlignment="1" applyProtection="1">
      <alignment vertical="center" wrapText="1"/>
    </xf>
    <xf numFmtId="0" fontId="12" fillId="16" borderId="1" xfId="0" applyFont="1" applyFill="1" applyBorder="1" applyAlignment="1" applyProtection="1">
      <alignment horizontal="center" vertical="center" wrapText="1"/>
    </xf>
    <xf numFmtId="0" fontId="12" fillId="16" borderId="10" xfId="0" applyFont="1" applyFill="1" applyBorder="1" applyAlignment="1" applyProtection="1">
      <alignment vertical="center"/>
    </xf>
    <xf numFmtId="0" fontId="12" fillId="16" borderId="15" xfId="0" applyFont="1" applyFill="1" applyBorder="1" applyAlignment="1" applyProtection="1">
      <alignment vertical="center" wrapText="1"/>
    </xf>
    <xf numFmtId="0" fontId="12" fillId="16" borderId="10" xfId="0" applyFont="1" applyFill="1" applyBorder="1" applyAlignment="1" applyProtection="1">
      <alignment vertical="center" wrapText="1"/>
    </xf>
    <xf numFmtId="9" fontId="12" fillId="16" borderId="10" xfId="0" applyNumberFormat="1" applyFont="1" applyFill="1" applyBorder="1" applyAlignment="1" applyProtection="1">
      <alignment vertical="center" wrapText="1"/>
    </xf>
    <xf numFmtId="43" fontId="12" fillId="16" borderId="10" xfId="1" applyFont="1" applyFill="1" applyBorder="1" applyAlignment="1" applyProtection="1">
      <alignment vertical="center" wrapText="1"/>
    </xf>
    <xf numFmtId="0" fontId="8" fillId="7" borderId="1" xfId="19" applyFont="1" applyFill="1" applyBorder="1" applyAlignment="1" applyProtection="1">
      <alignment horizontal="justify" vertical="top" wrapText="1"/>
    </xf>
    <xf numFmtId="0" fontId="20" fillId="0" borderId="1" xfId="0" applyFont="1" applyFill="1" applyBorder="1" applyAlignment="1" applyProtection="1">
      <alignment horizontal="justify" vertical="center" wrapText="1"/>
    </xf>
    <xf numFmtId="0" fontId="8" fillId="7" borderId="1" xfId="0" applyFont="1" applyFill="1" applyBorder="1" applyAlignment="1" applyProtection="1">
      <alignment horizontal="justify" vertical="center" wrapText="1"/>
    </xf>
    <xf numFmtId="0" fontId="18" fillId="0" borderId="1" xfId="0" applyFont="1" applyFill="1" applyBorder="1" applyAlignment="1" applyProtection="1">
      <alignment vertical="center" wrapText="1"/>
    </xf>
    <xf numFmtId="0" fontId="13" fillId="0" borderId="1" xfId="0" applyFont="1" applyFill="1" applyBorder="1" applyAlignment="1" applyProtection="1">
      <alignment horizontal="justify" vertical="center" wrapText="1"/>
    </xf>
    <xf numFmtId="0" fontId="12" fillId="11" borderId="10" xfId="0" applyFont="1" applyFill="1" applyBorder="1" applyAlignment="1" applyProtection="1">
      <alignment horizontal="left" vertical="center"/>
    </xf>
    <xf numFmtId="174" fontId="12" fillId="11" borderId="10" xfId="0" applyNumberFormat="1" applyFont="1" applyFill="1" applyBorder="1" applyAlignment="1" applyProtection="1">
      <alignment vertical="center" wrapText="1"/>
    </xf>
    <xf numFmtId="0" fontId="12" fillId="16" borderId="9" xfId="0" applyFont="1" applyFill="1" applyBorder="1" applyAlignment="1" applyProtection="1">
      <alignment horizontal="center" vertical="center" wrapText="1"/>
    </xf>
    <xf numFmtId="174" fontId="12" fillId="16" borderId="10" xfId="0" applyNumberFormat="1" applyFont="1" applyFill="1" applyBorder="1" applyAlignment="1" applyProtection="1">
      <alignment vertical="center" wrapText="1"/>
    </xf>
    <xf numFmtId="0" fontId="13" fillId="0" borderId="24" xfId="0" applyFont="1" applyFill="1" applyBorder="1" applyAlignment="1" applyProtection="1">
      <alignment horizontal="justify" vertical="center" wrapText="1"/>
    </xf>
    <xf numFmtId="3" fontId="13" fillId="7" borderId="24" xfId="15" applyNumberFormat="1" applyFont="1" applyFill="1" applyBorder="1" applyAlignment="1" applyProtection="1">
      <alignment horizontal="center" vertical="center" wrapText="1"/>
    </xf>
    <xf numFmtId="0" fontId="12" fillId="11" borderId="6" xfId="0" applyFont="1" applyFill="1" applyBorder="1" applyAlignment="1" applyProtection="1">
      <alignment horizontal="center" vertical="center" wrapText="1"/>
    </xf>
    <xf numFmtId="0" fontId="12" fillId="11" borderId="1" xfId="0" applyFont="1" applyFill="1" applyBorder="1" applyAlignment="1" applyProtection="1">
      <alignment vertical="center" wrapText="1"/>
    </xf>
    <xf numFmtId="0" fontId="12" fillId="11" borderId="10" xfId="0" applyFont="1" applyFill="1" applyBorder="1" applyAlignment="1" applyProtection="1">
      <alignment horizontal="justify" vertical="center" wrapText="1"/>
    </xf>
    <xf numFmtId="0" fontId="12" fillId="11" borderId="2" xfId="0" applyFont="1" applyFill="1" applyBorder="1" applyAlignment="1" applyProtection="1">
      <alignment vertical="center" wrapText="1"/>
    </xf>
    <xf numFmtId="0" fontId="12" fillId="11" borderId="5" xfId="0" applyFont="1" applyFill="1" applyBorder="1" applyAlignment="1" applyProtection="1">
      <alignment vertical="center" wrapText="1"/>
    </xf>
    <xf numFmtId="0" fontId="12" fillId="16" borderId="10" xfId="0" applyFont="1" applyFill="1" applyBorder="1" applyAlignment="1" applyProtection="1">
      <alignment horizontal="justify" vertical="center" wrapText="1"/>
    </xf>
    <xf numFmtId="0" fontId="12" fillId="11" borderId="13" xfId="0" applyFont="1" applyFill="1" applyBorder="1" applyAlignment="1" applyProtection="1">
      <alignment horizontal="center" vertical="center" wrapText="1"/>
    </xf>
    <xf numFmtId="0" fontId="12" fillId="11" borderId="10" xfId="0" applyFont="1" applyFill="1" applyBorder="1" applyAlignment="1" applyProtection="1">
      <alignment vertical="center"/>
    </xf>
    <xf numFmtId="0" fontId="12" fillId="11" borderId="10" xfId="0" applyFont="1" applyFill="1" applyBorder="1" applyAlignment="1" applyProtection="1">
      <alignment horizontal="justify" vertical="center"/>
    </xf>
    <xf numFmtId="174" fontId="12" fillId="11" borderId="10" xfId="0" applyNumberFormat="1" applyFont="1" applyFill="1" applyBorder="1" applyAlignment="1" applyProtection="1">
      <alignment vertical="center"/>
    </xf>
    <xf numFmtId="43" fontId="12" fillId="11" borderId="10" xfId="1" applyFont="1" applyFill="1" applyBorder="1" applyAlignment="1" applyProtection="1">
      <alignment vertical="center"/>
    </xf>
    <xf numFmtId="0" fontId="12" fillId="11" borderId="10" xfId="0" applyFont="1" applyFill="1" applyBorder="1" applyAlignment="1" applyProtection="1">
      <alignment horizontal="center" vertical="center"/>
    </xf>
    <xf numFmtId="0" fontId="13" fillId="11" borderId="15" xfId="0" applyFont="1" applyFill="1" applyBorder="1" applyAlignment="1" applyProtection="1">
      <alignment horizontal="justify" vertical="center"/>
    </xf>
    <xf numFmtId="0" fontId="14" fillId="12" borderId="9" xfId="0" applyFont="1" applyFill="1" applyBorder="1" applyAlignment="1" applyProtection="1">
      <alignment vertical="center"/>
    </xf>
    <xf numFmtId="0" fontId="14" fillId="12" borderId="10" xfId="0" applyFont="1" applyFill="1" applyBorder="1" applyAlignment="1" applyProtection="1">
      <alignment vertical="center"/>
    </xf>
    <xf numFmtId="0" fontId="14" fillId="12" borderId="10" xfId="0" applyFont="1" applyFill="1" applyBorder="1" applyAlignment="1" applyProtection="1">
      <alignment horizontal="justify" vertical="center" wrapText="1"/>
    </xf>
    <xf numFmtId="0" fontId="14" fillId="12" borderId="3" xfId="0" applyFont="1" applyFill="1" applyBorder="1" applyAlignment="1" applyProtection="1">
      <alignment vertical="center"/>
    </xf>
    <xf numFmtId="0" fontId="14" fillId="12" borderId="10" xfId="0" applyFont="1" applyFill="1" applyBorder="1" applyAlignment="1" applyProtection="1">
      <alignment horizontal="justify" vertical="center"/>
    </xf>
    <xf numFmtId="174" fontId="14" fillId="12" borderId="10" xfId="0" applyNumberFormat="1" applyFont="1" applyFill="1" applyBorder="1" applyAlignment="1" applyProtection="1">
      <alignment vertical="center"/>
    </xf>
    <xf numFmtId="43" fontId="14" fillId="12" borderId="10" xfId="1" applyFont="1" applyFill="1" applyBorder="1" applyAlignment="1" applyProtection="1">
      <alignment vertical="center"/>
    </xf>
    <xf numFmtId="0" fontId="14" fillId="12" borderId="3" xfId="0" applyFont="1" applyFill="1" applyBorder="1" applyAlignment="1" applyProtection="1">
      <alignment horizontal="center" vertical="center"/>
    </xf>
    <xf numFmtId="0" fontId="35" fillId="12" borderId="15" xfId="0" applyFont="1" applyFill="1" applyBorder="1" applyAlignment="1" applyProtection="1">
      <alignment horizontal="justify" vertical="center"/>
    </xf>
    <xf numFmtId="0" fontId="16" fillId="0" borderId="1" xfId="0" applyFont="1" applyBorder="1" applyAlignment="1" applyProtection="1">
      <alignment horizontal="justify" vertical="center" wrapText="1"/>
    </xf>
    <xf numFmtId="0" fontId="35" fillId="7" borderId="46" xfId="0" applyFont="1" applyFill="1" applyBorder="1" applyAlignment="1" applyProtection="1">
      <alignment horizontal="center" vertical="center" wrapText="1"/>
    </xf>
    <xf numFmtId="0" fontId="35" fillId="0" borderId="37" xfId="0" applyFont="1" applyBorder="1" applyAlignment="1" applyProtection="1">
      <alignment horizontal="center" vertical="center" wrapText="1"/>
    </xf>
    <xf numFmtId="0" fontId="18" fillId="0" borderId="1" xfId="0" applyFont="1" applyBorder="1" applyAlignment="1" applyProtection="1">
      <alignment horizontal="justify" vertical="center" wrapText="1"/>
    </xf>
    <xf numFmtId="0" fontId="35" fillId="0" borderId="1" xfId="0" applyFont="1" applyBorder="1" applyAlignment="1" applyProtection="1">
      <alignment horizontal="justify" vertical="center" wrapText="1"/>
    </xf>
    <xf numFmtId="0" fontId="35" fillId="7" borderId="47" xfId="0" applyFont="1" applyFill="1" applyBorder="1" applyAlignment="1" applyProtection="1">
      <alignment vertical="center" wrapText="1"/>
    </xf>
    <xf numFmtId="174" fontId="13" fillId="0" borderId="1" xfId="4" applyNumberFormat="1" applyFont="1" applyBorder="1" applyAlignment="1" applyProtection="1">
      <alignment horizontal="center" vertical="center"/>
    </xf>
    <xf numFmtId="0" fontId="13" fillId="0" borderId="1" xfId="0" applyFont="1" applyBorder="1" applyAlignment="1" applyProtection="1">
      <alignment horizontal="justify" vertical="center" wrapText="1"/>
    </xf>
    <xf numFmtId="168" fontId="35" fillId="7" borderId="12" xfId="0" applyNumberFormat="1" applyFont="1" applyFill="1" applyBorder="1" applyAlignment="1" applyProtection="1">
      <alignment horizontal="center" vertical="center" wrapText="1"/>
    </xf>
    <xf numFmtId="0" fontId="13" fillId="0" borderId="37" xfId="0" applyFont="1" applyBorder="1" applyAlignment="1" applyProtection="1">
      <alignment horizontal="center" vertical="center"/>
    </xf>
    <xf numFmtId="0" fontId="35" fillId="0" borderId="40" xfId="0" applyFont="1" applyBorder="1" applyAlignment="1" applyProtection="1">
      <alignment horizontal="center" vertical="center" wrapText="1"/>
    </xf>
    <xf numFmtId="168" fontId="35" fillId="7" borderId="4" xfId="0" applyNumberFormat="1" applyFont="1" applyFill="1" applyBorder="1" applyAlignment="1" applyProtection="1">
      <alignment horizontal="center" vertical="center" wrapText="1"/>
    </xf>
    <xf numFmtId="0" fontId="35" fillId="0" borderId="36" xfId="0" applyFont="1" applyBorder="1" applyAlignment="1" applyProtection="1">
      <alignment horizontal="center" vertical="center" wrapText="1"/>
    </xf>
    <xf numFmtId="168" fontId="35" fillId="7" borderId="9" xfId="0" applyNumberFormat="1" applyFont="1" applyFill="1" applyBorder="1" applyAlignment="1" applyProtection="1">
      <alignment horizontal="center" vertical="center" wrapText="1"/>
    </xf>
    <xf numFmtId="0" fontId="20" fillId="0" borderId="9" xfId="0" applyFont="1" applyBorder="1" applyProtection="1"/>
    <xf numFmtId="0" fontId="20" fillId="0" borderId="10" xfId="0" applyFont="1" applyBorder="1" applyProtection="1"/>
    <xf numFmtId="0" fontId="20" fillId="0" borderId="10" xfId="0" applyFont="1" applyBorder="1" applyAlignment="1" applyProtection="1">
      <alignment horizontal="center"/>
    </xf>
    <xf numFmtId="0" fontId="20" fillId="0" borderId="10" xfId="0" applyFont="1" applyBorder="1" applyAlignment="1" applyProtection="1">
      <alignment horizontal="justify"/>
    </xf>
    <xf numFmtId="165" fontId="20" fillId="0" borderId="10" xfId="0" applyNumberFormat="1" applyFont="1" applyBorder="1" applyProtection="1"/>
    <xf numFmtId="0" fontId="20" fillId="0" borderId="15" xfId="0" applyFont="1" applyBorder="1" applyAlignment="1" applyProtection="1">
      <alignment horizontal="justify" vertical="center"/>
    </xf>
    <xf numFmtId="165" fontId="30" fillId="0" borderId="1" xfId="0" applyNumberFormat="1" applyFont="1" applyBorder="1" applyAlignment="1" applyProtection="1">
      <alignment horizontal="center" vertical="center"/>
    </xf>
    <xf numFmtId="0" fontId="20" fillId="0" borderId="9" xfId="0" applyFont="1" applyBorder="1" applyAlignment="1" applyProtection="1">
      <alignment horizontal="center"/>
    </xf>
    <xf numFmtId="0" fontId="20" fillId="0" borderId="10" xfId="0" applyFont="1" applyBorder="1" applyAlignment="1" applyProtection="1">
      <alignment horizontal="center" vertical="center"/>
    </xf>
    <xf numFmtId="0" fontId="20" fillId="0" borderId="15" xfId="0" applyFont="1" applyBorder="1" applyAlignment="1" applyProtection="1">
      <alignment horizontal="justify"/>
    </xf>
    <xf numFmtId="0" fontId="20" fillId="0" borderId="0" xfId="0" applyFont="1" applyAlignment="1" applyProtection="1">
      <alignment horizontal="center"/>
    </xf>
    <xf numFmtId="0" fontId="20" fillId="0" borderId="0" xfId="0" applyFont="1" applyAlignment="1" applyProtection="1">
      <alignment horizontal="justify"/>
    </xf>
    <xf numFmtId="165" fontId="20" fillId="0" borderId="0" xfId="0" applyNumberFormat="1" applyFont="1" applyProtection="1"/>
    <xf numFmtId="165" fontId="20" fillId="0" borderId="0" xfId="0" applyNumberFormat="1" applyFont="1" applyAlignment="1" applyProtection="1">
      <alignment horizontal="center"/>
    </xf>
    <xf numFmtId="0" fontId="20" fillId="0" borderId="0" xfId="0" applyFont="1" applyAlignment="1" applyProtection="1">
      <alignment horizontal="center" vertical="center"/>
    </xf>
    <xf numFmtId="0" fontId="36" fillId="0" borderId="23" xfId="0" applyFont="1" applyBorder="1" applyAlignment="1" applyProtection="1">
      <alignment vertical="center"/>
    </xf>
    <xf numFmtId="0" fontId="36" fillId="0" borderId="27" xfId="0" applyFont="1" applyBorder="1" applyAlignment="1" applyProtection="1">
      <alignment vertical="center"/>
    </xf>
    <xf numFmtId="0" fontId="20" fillId="7" borderId="0" xfId="0" applyFont="1" applyFill="1" applyProtection="1"/>
    <xf numFmtId="0" fontId="0" fillId="0" borderId="0" xfId="0" applyProtection="1"/>
    <xf numFmtId="0" fontId="36" fillId="0" borderId="1" xfId="0" applyFont="1" applyBorder="1" applyAlignment="1" applyProtection="1">
      <alignment horizontal="left" vertical="center"/>
    </xf>
    <xf numFmtId="0" fontId="36" fillId="0" borderId="17" xfId="0" applyFont="1" applyBorder="1" applyAlignment="1" applyProtection="1">
      <alignment vertical="center"/>
    </xf>
    <xf numFmtId="0" fontId="36" fillId="0" borderId="1" xfId="0" applyFont="1" applyBorder="1" applyAlignment="1" applyProtection="1">
      <alignment vertical="center"/>
    </xf>
    <xf numFmtId="0" fontId="36" fillId="0" borderId="17" xfId="0" applyFont="1" applyBorder="1" applyAlignment="1" applyProtection="1">
      <alignment vertical="center" wrapText="1"/>
    </xf>
    <xf numFmtId="3" fontId="3" fillId="0" borderId="17" xfId="0" applyNumberFormat="1" applyFont="1" applyBorder="1" applyAlignment="1" applyProtection="1">
      <alignment horizontal="left" vertical="center" wrapText="1"/>
    </xf>
    <xf numFmtId="0" fontId="30" fillId="0" borderId="4" xfId="0" applyFont="1" applyBorder="1" applyAlignment="1" applyProtection="1">
      <alignment horizontal="justify" vertical="center"/>
    </xf>
    <xf numFmtId="0" fontId="30" fillId="0" borderId="2" xfId="0" applyFont="1" applyBorder="1" applyAlignment="1" applyProtection="1">
      <alignment horizontal="justify" vertical="center"/>
    </xf>
    <xf numFmtId="0" fontId="30" fillId="0" borderId="2" xfId="0" applyFont="1" applyBorder="1" applyAlignment="1" applyProtection="1">
      <alignment horizontal="center" vertical="center"/>
    </xf>
    <xf numFmtId="179" fontId="30" fillId="0" borderId="2" xfId="20" applyNumberFormat="1" applyFont="1" applyBorder="1" applyAlignment="1" applyProtection="1">
      <alignment horizontal="justify" vertical="center"/>
    </xf>
    <xf numFmtId="179" fontId="30" fillId="0" borderId="2" xfId="20" applyNumberFormat="1" applyFont="1" applyBorder="1" applyAlignment="1" applyProtection="1">
      <alignment horizontal="right" vertical="center"/>
    </xf>
    <xf numFmtId="0" fontId="30" fillId="0" borderId="0" xfId="0" applyFont="1" applyAlignment="1" applyProtection="1">
      <alignment vertical="center"/>
    </xf>
    <xf numFmtId="0" fontId="30" fillId="0" borderId="42" xfId="0" applyFont="1" applyBorder="1" applyAlignment="1" applyProtection="1">
      <alignment vertical="center"/>
    </xf>
    <xf numFmtId="1" fontId="30" fillId="8" borderId="8" xfId="0" applyNumberFormat="1" applyFont="1" applyFill="1" applyBorder="1" applyAlignment="1" applyProtection="1">
      <alignment horizontal="center" vertical="center" wrapText="1"/>
    </xf>
    <xf numFmtId="1" fontId="36" fillId="8" borderId="13" xfId="0" applyNumberFormat="1" applyFont="1" applyFill="1" applyBorder="1" applyAlignment="1" applyProtection="1">
      <alignment horizontal="center" vertical="center" wrapText="1"/>
    </xf>
    <xf numFmtId="0" fontId="36" fillId="8" borderId="9" xfId="0" applyFont="1" applyFill="1" applyBorder="1" applyAlignment="1" applyProtection="1">
      <alignment horizontal="center" vertical="center" textRotation="90" wrapText="1"/>
    </xf>
    <xf numFmtId="49" fontId="36" fillId="8" borderId="9" xfId="0" applyNumberFormat="1" applyFont="1" applyFill="1" applyBorder="1" applyAlignment="1" applyProtection="1">
      <alignment horizontal="center" vertical="center" textRotation="90" wrapText="1"/>
    </xf>
    <xf numFmtId="0" fontId="9" fillId="7" borderId="0" xfId="0" applyFont="1" applyFill="1" applyProtection="1"/>
    <xf numFmtId="0" fontId="9" fillId="0" borderId="0" xfId="0" applyFont="1" applyProtection="1"/>
    <xf numFmtId="0" fontId="37" fillId="0" borderId="0" xfId="0" applyFont="1" applyProtection="1"/>
    <xf numFmtId="1" fontId="30" fillId="10" borderId="52" xfId="0" applyNumberFormat="1" applyFont="1" applyFill="1" applyBorder="1" applyAlignment="1" applyProtection="1">
      <alignment horizontal="left" vertical="center" wrapText="1"/>
    </xf>
    <xf numFmtId="0" fontId="30" fillId="10" borderId="10" xfId="0" applyFont="1" applyFill="1" applyBorder="1" applyAlignment="1" applyProtection="1">
      <alignment vertical="center"/>
    </xf>
    <xf numFmtId="0" fontId="30" fillId="10" borderId="10" xfId="0" applyFont="1" applyFill="1" applyBorder="1" applyAlignment="1" applyProtection="1">
      <alignment horizontal="left" vertical="center"/>
    </xf>
    <xf numFmtId="0" fontId="30" fillId="10" borderId="10" xfId="0" applyFont="1" applyFill="1" applyBorder="1" applyAlignment="1" applyProtection="1">
      <alignment horizontal="justify" vertical="center"/>
    </xf>
    <xf numFmtId="0" fontId="30" fillId="10" borderId="10" xfId="0" applyFont="1" applyFill="1" applyBorder="1" applyAlignment="1" applyProtection="1">
      <alignment horizontal="center" vertical="center"/>
    </xf>
    <xf numFmtId="169" fontId="30" fillId="10" borderId="10" xfId="0" applyNumberFormat="1" applyFont="1" applyFill="1" applyBorder="1" applyAlignment="1" applyProtection="1">
      <alignment horizontal="center" vertical="center"/>
    </xf>
    <xf numFmtId="179" fontId="30" fillId="10" borderId="10" xfId="20" applyNumberFormat="1" applyFont="1" applyFill="1" applyBorder="1" applyAlignment="1" applyProtection="1">
      <alignment horizontal="justify" vertical="center"/>
    </xf>
    <xf numFmtId="179" fontId="30" fillId="10" borderId="10" xfId="20" applyNumberFormat="1" applyFont="1" applyFill="1" applyBorder="1" applyAlignment="1" applyProtection="1">
      <alignment horizontal="right" vertical="center"/>
    </xf>
    <xf numFmtId="1" fontId="30" fillId="10" borderId="10" xfId="0" applyNumberFormat="1" applyFont="1" applyFill="1" applyBorder="1" applyAlignment="1" applyProtection="1">
      <alignment horizontal="center" vertical="center"/>
    </xf>
    <xf numFmtId="166" fontId="30" fillId="10" borderId="2" xfId="0" applyNumberFormat="1" applyFont="1" applyFill="1" applyBorder="1" applyAlignment="1" applyProtection="1">
      <alignment vertical="center"/>
    </xf>
    <xf numFmtId="0" fontId="30" fillId="10" borderId="31" xfId="0" applyFont="1" applyFill="1" applyBorder="1" applyAlignment="1" applyProtection="1">
      <alignment horizontal="justify" vertical="center"/>
    </xf>
    <xf numFmtId="1" fontId="30" fillId="7" borderId="28" xfId="0" applyNumberFormat="1" applyFont="1" applyFill="1" applyBorder="1" applyAlignment="1" applyProtection="1">
      <alignment horizontal="center" vertical="center" wrapText="1"/>
    </xf>
    <xf numFmtId="0" fontId="30" fillId="7" borderId="0" xfId="0" applyFont="1" applyFill="1" applyAlignment="1" applyProtection="1">
      <alignment horizontal="center" vertical="center" wrapText="1"/>
    </xf>
    <xf numFmtId="1" fontId="30" fillId="11" borderId="4" xfId="0" applyNumberFormat="1" applyFont="1" applyFill="1" applyBorder="1" applyAlignment="1" applyProtection="1">
      <alignment horizontal="center" vertical="center"/>
    </xf>
    <xf numFmtId="0" fontId="30" fillId="11" borderId="2" xfId="0" applyFont="1" applyFill="1" applyBorder="1" applyAlignment="1" applyProtection="1">
      <alignment vertical="center"/>
    </xf>
    <xf numFmtId="0" fontId="30" fillId="11" borderId="2" xfId="0" applyFont="1" applyFill="1" applyBorder="1" applyAlignment="1" applyProtection="1">
      <alignment horizontal="justify" vertical="center"/>
    </xf>
    <xf numFmtId="0" fontId="30" fillId="11" borderId="2" xfId="0" applyFont="1" applyFill="1" applyBorder="1" applyAlignment="1" applyProtection="1">
      <alignment horizontal="center" vertical="center"/>
    </xf>
    <xf numFmtId="169" fontId="30" fillId="11" borderId="2" xfId="0" applyNumberFormat="1" applyFont="1" applyFill="1" applyBorder="1" applyAlignment="1" applyProtection="1">
      <alignment horizontal="center" vertical="center"/>
    </xf>
    <xf numFmtId="179" fontId="30" fillId="11" borderId="2" xfId="20" applyNumberFormat="1" applyFont="1" applyFill="1" applyBorder="1" applyAlignment="1" applyProtection="1">
      <alignment horizontal="justify" vertical="center"/>
    </xf>
    <xf numFmtId="179" fontId="30" fillId="11" borderId="2" xfId="20" applyNumberFormat="1" applyFont="1" applyFill="1" applyBorder="1" applyAlignment="1" applyProtection="1">
      <alignment horizontal="right" vertical="center"/>
    </xf>
    <xf numFmtId="1" fontId="30" fillId="11" borderId="2" xfId="0" applyNumberFormat="1" applyFont="1" applyFill="1" applyBorder="1" applyAlignment="1" applyProtection="1">
      <alignment horizontal="center" vertical="center"/>
    </xf>
    <xf numFmtId="166" fontId="30" fillId="11" borderId="2" xfId="0" applyNumberFormat="1" applyFont="1" applyFill="1" applyBorder="1" applyAlignment="1" applyProtection="1">
      <alignment vertical="center"/>
    </xf>
    <xf numFmtId="0" fontId="30" fillId="11" borderId="42" xfId="0" applyFont="1" applyFill="1" applyBorder="1" applyAlignment="1" applyProtection="1">
      <alignment horizontal="justify" vertical="center"/>
    </xf>
    <xf numFmtId="0" fontId="30" fillId="7" borderId="7" xfId="0" applyFont="1" applyFill="1" applyBorder="1" applyAlignment="1" applyProtection="1">
      <alignment horizontal="center" vertical="center" wrapText="1"/>
    </xf>
    <xf numFmtId="0" fontId="30" fillId="12" borderId="10" xfId="0" applyFont="1" applyFill="1" applyBorder="1" applyAlignment="1" applyProtection="1">
      <alignment vertical="center"/>
    </xf>
    <xf numFmtId="0" fontId="30" fillId="12" borderId="3" xfId="0" applyFont="1" applyFill="1" applyBorder="1" applyAlignment="1" applyProtection="1">
      <alignment horizontal="justify" vertical="center"/>
    </xf>
    <xf numFmtId="0" fontId="30" fillId="12" borderId="3" xfId="0" applyFont="1" applyFill="1" applyBorder="1" applyAlignment="1" applyProtection="1">
      <alignment horizontal="center" vertical="center"/>
    </xf>
    <xf numFmtId="0" fontId="30" fillId="12" borderId="8" xfId="0" applyFont="1" applyFill="1" applyBorder="1" applyAlignment="1" applyProtection="1">
      <alignment horizontal="justify" vertical="center"/>
    </xf>
    <xf numFmtId="169" fontId="30" fillId="12" borderId="3" xfId="0" applyNumberFormat="1" applyFont="1" applyFill="1" applyBorder="1" applyAlignment="1" applyProtection="1">
      <alignment horizontal="center" vertical="center"/>
    </xf>
    <xf numFmtId="179" fontId="30" fillId="12" borderId="3" xfId="20" applyNumberFormat="1" applyFont="1" applyFill="1" applyBorder="1" applyAlignment="1" applyProtection="1">
      <alignment horizontal="justify" vertical="center"/>
    </xf>
    <xf numFmtId="179" fontId="30" fillId="12" borderId="3" xfId="20" applyNumberFormat="1" applyFont="1" applyFill="1" applyBorder="1" applyAlignment="1" applyProtection="1">
      <alignment horizontal="right" vertical="center"/>
    </xf>
    <xf numFmtId="1" fontId="30" fillId="12" borderId="3" xfId="0" applyNumberFormat="1" applyFont="1" applyFill="1" applyBorder="1" applyAlignment="1" applyProtection="1">
      <alignment horizontal="center" vertical="center"/>
    </xf>
    <xf numFmtId="0" fontId="30" fillId="12" borderId="3" xfId="0" applyFont="1" applyFill="1" applyBorder="1" applyAlignment="1" applyProtection="1">
      <alignment vertical="center"/>
    </xf>
    <xf numFmtId="166" fontId="30" fillId="12" borderId="3" xfId="0" applyNumberFormat="1" applyFont="1" applyFill="1" applyBorder="1" applyAlignment="1" applyProtection="1">
      <alignment vertical="center"/>
    </xf>
    <xf numFmtId="0" fontId="30" fillId="12" borderId="51" xfId="0" applyFont="1" applyFill="1" applyBorder="1" applyAlignment="1" applyProtection="1">
      <alignment horizontal="justify" vertical="center"/>
    </xf>
    <xf numFmtId="1" fontId="20" fillId="7" borderId="28" xfId="0" applyNumberFormat="1" applyFont="1" applyFill="1" applyBorder="1" applyAlignment="1" applyProtection="1">
      <alignment horizontal="center" vertical="center" wrapText="1"/>
    </xf>
    <xf numFmtId="0" fontId="20" fillId="7" borderId="0" xfId="0" applyFont="1" applyFill="1" applyAlignment="1" applyProtection="1">
      <alignment horizontal="center" vertical="center" wrapText="1"/>
    </xf>
    <xf numFmtId="0" fontId="20" fillId="7" borderId="12" xfId="0" applyFont="1" applyFill="1" applyBorder="1" applyAlignment="1" applyProtection="1">
      <alignment horizontal="center" vertical="center" wrapText="1"/>
    </xf>
    <xf numFmtId="0" fontId="20" fillId="7" borderId="7" xfId="0" applyFont="1" applyFill="1" applyBorder="1" applyAlignment="1" applyProtection="1">
      <alignment horizontal="center" vertical="center" wrapText="1"/>
    </xf>
    <xf numFmtId="43" fontId="20" fillId="7" borderId="9" xfId="1" applyFont="1" applyFill="1" applyBorder="1" applyAlignment="1" applyProtection="1">
      <alignment horizontal="right" vertical="center" wrapText="1"/>
    </xf>
    <xf numFmtId="0" fontId="20" fillId="0" borderId="37" xfId="21" applyNumberFormat="1" applyFont="1" applyBorder="1" applyAlignment="1" applyProtection="1">
      <alignment horizontal="center" vertical="center" wrapText="1"/>
    </xf>
    <xf numFmtId="0" fontId="20" fillId="0" borderId="37" xfId="0" applyFont="1" applyBorder="1" applyAlignment="1" applyProtection="1">
      <alignment horizontal="center" vertical="center" wrapText="1"/>
    </xf>
    <xf numFmtId="43" fontId="20" fillId="0" borderId="9" xfId="1" applyFont="1" applyBorder="1" applyAlignment="1" applyProtection="1">
      <alignment horizontal="right" vertical="center" wrapText="1"/>
    </xf>
    <xf numFmtId="43" fontId="8" fillId="0" borderId="9" xfId="1" applyFont="1" applyBorder="1" applyAlignment="1" applyProtection="1">
      <alignment vertical="center" wrapText="1"/>
    </xf>
    <xf numFmtId="0" fontId="20" fillId="0" borderId="1" xfId="0" applyFont="1" applyBorder="1" applyAlignment="1" applyProtection="1">
      <alignment horizontal="center" vertical="center" wrapText="1"/>
    </xf>
    <xf numFmtId="0" fontId="20" fillId="0" borderId="1" xfId="0" applyFont="1" applyBorder="1" applyAlignment="1" applyProtection="1">
      <alignment horizontal="justify" vertical="center" wrapText="1"/>
    </xf>
    <xf numFmtId="0" fontId="20" fillId="0" borderId="9" xfId="0" applyFont="1" applyBorder="1" applyAlignment="1" applyProtection="1">
      <alignment horizontal="center" vertical="center" wrapText="1"/>
    </xf>
    <xf numFmtId="9" fontId="20" fillId="0" borderId="1" xfId="4" applyFont="1" applyBorder="1" applyAlignment="1" applyProtection="1">
      <alignment horizontal="center" vertical="center" wrapText="1"/>
    </xf>
    <xf numFmtId="0" fontId="4" fillId="0" borderId="1" xfId="0" applyFont="1" applyBorder="1" applyAlignment="1" applyProtection="1">
      <alignment horizontal="justify" vertical="center" wrapText="1"/>
    </xf>
    <xf numFmtId="0" fontId="20" fillId="0" borderId="36" xfId="21" applyNumberFormat="1" applyFont="1" applyBorder="1" applyAlignment="1" applyProtection="1">
      <alignment horizontal="center" vertical="center" wrapText="1"/>
    </xf>
    <xf numFmtId="0" fontId="20" fillId="0" borderId="36" xfId="0" applyFont="1" applyBorder="1" applyAlignment="1" applyProtection="1">
      <alignment horizontal="center" vertical="center" wrapText="1"/>
    </xf>
    <xf numFmtId="1" fontId="20" fillId="0" borderId="19" xfId="0" applyNumberFormat="1" applyFont="1" applyBorder="1" applyAlignment="1" applyProtection="1">
      <alignment vertical="center"/>
    </xf>
    <xf numFmtId="0" fontId="20" fillId="0" borderId="20" xfId="0" applyFont="1" applyBorder="1" applyAlignment="1" applyProtection="1">
      <alignment vertical="center"/>
    </xf>
    <xf numFmtId="0" fontId="20" fillId="0" borderId="20" xfId="0" applyFont="1" applyBorder="1" applyAlignment="1" applyProtection="1">
      <alignment vertical="center" wrapText="1"/>
    </xf>
    <xf numFmtId="0" fontId="20" fillId="0" borderId="20" xfId="0" applyFont="1" applyBorder="1" applyAlignment="1" applyProtection="1">
      <alignment horizontal="justify" vertical="center"/>
    </xf>
    <xf numFmtId="0" fontId="20" fillId="0" borderId="20" xfId="0" applyFont="1" applyBorder="1" applyAlignment="1" applyProtection="1">
      <alignment horizontal="center" vertical="center"/>
    </xf>
    <xf numFmtId="169" fontId="20" fillId="0" borderId="21" xfId="0" applyNumberFormat="1" applyFont="1" applyBorder="1" applyAlignment="1" applyProtection="1">
      <alignment horizontal="center" vertical="center"/>
    </xf>
    <xf numFmtId="43" fontId="30" fillId="0" borderId="22" xfId="1" applyFont="1" applyBorder="1" applyAlignment="1" applyProtection="1">
      <alignment horizontal="justify" vertical="center"/>
    </xf>
    <xf numFmtId="0" fontId="20" fillId="0" borderId="19" xfId="0" applyFont="1" applyBorder="1" applyAlignment="1" applyProtection="1">
      <alignment horizontal="justify" vertical="center"/>
    </xf>
    <xf numFmtId="0" fontId="20" fillId="0" borderId="21" xfId="0" applyFont="1" applyBorder="1" applyAlignment="1" applyProtection="1">
      <alignment horizontal="justify" vertical="center"/>
    </xf>
    <xf numFmtId="43" fontId="30" fillId="0" borderId="22" xfId="1" applyFont="1" applyBorder="1" applyAlignment="1" applyProtection="1">
      <alignment horizontal="right" vertical="center"/>
    </xf>
    <xf numFmtId="1" fontId="20" fillId="7" borderId="19" xfId="0" applyNumberFormat="1" applyFont="1" applyFill="1" applyBorder="1" applyAlignment="1" applyProtection="1">
      <alignment horizontal="center" vertical="center"/>
    </xf>
    <xf numFmtId="0" fontId="20" fillId="7" borderId="20" xfId="0" applyFont="1" applyFill="1" applyBorder="1" applyAlignment="1" applyProtection="1">
      <alignment horizontal="justify" vertical="center"/>
    </xf>
    <xf numFmtId="166" fontId="20" fillId="0" borderId="20" xfId="0" applyNumberFormat="1" applyFont="1" applyBorder="1" applyAlignment="1" applyProtection="1">
      <alignment horizontal="right" vertical="center"/>
    </xf>
    <xf numFmtId="166" fontId="20" fillId="0" borderId="20" xfId="0" applyNumberFormat="1" applyFont="1" applyBorder="1" applyAlignment="1" applyProtection="1">
      <alignment horizontal="center" vertical="center"/>
    </xf>
    <xf numFmtId="0" fontId="20" fillId="0" borderId="0" xfId="0" applyFont="1" applyAlignment="1" applyProtection="1">
      <alignment vertical="center"/>
    </xf>
    <xf numFmtId="179" fontId="30" fillId="0" borderId="0" xfId="20" applyNumberFormat="1" applyFont="1" applyAlignment="1" applyProtection="1">
      <alignment horizontal="justify" vertical="center"/>
    </xf>
    <xf numFmtId="179" fontId="30" fillId="0" borderId="0" xfId="20" applyNumberFormat="1" applyFont="1" applyAlignment="1" applyProtection="1">
      <alignment horizontal="right" vertical="center"/>
    </xf>
    <xf numFmtId="165" fontId="30" fillId="7" borderId="0" xfId="0" applyNumberFormat="1" applyFont="1" applyFill="1" applyAlignment="1" applyProtection="1">
      <alignment vertical="center"/>
    </xf>
    <xf numFmtId="0" fontId="20" fillId="7" borderId="0" xfId="0" applyFont="1" applyFill="1" applyAlignment="1" applyProtection="1">
      <alignment horizontal="justify"/>
    </xf>
    <xf numFmtId="180" fontId="30" fillId="7" borderId="0" xfId="0" applyNumberFormat="1" applyFont="1" applyFill="1" applyAlignment="1" applyProtection="1">
      <alignment horizontal="right" vertical="center"/>
    </xf>
    <xf numFmtId="171" fontId="20" fillId="7" borderId="0" xfId="0" applyNumberFormat="1" applyFont="1" applyFill="1" applyAlignment="1" applyProtection="1">
      <alignment vertical="center"/>
    </xf>
    <xf numFmtId="0" fontId="30" fillId="0" borderId="0" xfId="0" applyFont="1" applyAlignment="1" applyProtection="1">
      <alignment horizontal="center" vertical="center"/>
    </xf>
    <xf numFmtId="165" fontId="30" fillId="0" borderId="0" xfId="0" applyNumberFormat="1" applyFont="1" applyAlignment="1" applyProtection="1">
      <alignment horizontal="justify" vertical="center"/>
    </xf>
    <xf numFmtId="1" fontId="20" fillId="7" borderId="0" xfId="0" applyNumberFormat="1" applyFont="1" applyFill="1" applyProtection="1"/>
    <xf numFmtId="1" fontId="20" fillId="0" borderId="0" xfId="0" applyNumberFormat="1" applyFont="1" applyProtection="1"/>
    <xf numFmtId="0" fontId="20" fillId="0" borderId="0" xfId="0" applyFont="1" applyAlignment="1" applyProtection="1">
      <alignment vertical="center" wrapText="1"/>
    </xf>
    <xf numFmtId="179" fontId="20" fillId="0" borderId="0" xfId="20" applyNumberFormat="1" applyFont="1" applyAlignment="1" applyProtection="1">
      <alignment horizontal="justify"/>
    </xf>
    <xf numFmtId="179" fontId="20" fillId="0" borderId="0" xfId="20" applyNumberFormat="1" applyFont="1" applyAlignment="1" applyProtection="1">
      <alignment horizontal="right" vertical="center"/>
    </xf>
    <xf numFmtId="1" fontId="20" fillId="7" borderId="0" xfId="0" applyNumberFormat="1" applyFont="1" applyFill="1" applyAlignment="1" applyProtection="1">
      <alignment horizontal="center" vertical="center"/>
    </xf>
    <xf numFmtId="0" fontId="20" fillId="7" borderId="0" xfId="0" applyFont="1" applyFill="1" applyAlignment="1" applyProtection="1">
      <alignment horizontal="justify" vertical="center"/>
    </xf>
    <xf numFmtId="166" fontId="20" fillId="0" borderId="0" xfId="0" applyNumberFormat="1" applyFont="1" applyAlignment="1" applyProtection="1">
      <alignment horizontal="right" vertical="center"/>
    </xf>
    <xf numFmtId="166" fontId="20" fillId="0" borderId="0" xfId="0" applyNumberFormat="1" applyFont="1" applyAlignment="1" applyProtection="1">
      <alignment horizontal="center"/>
    </xf>
    <xf numFmtId="0" fontId="20" fillId="7" borderId="0" xfId="0" applyFont="1" applyFill="1" applyAlignment="1" applyProtection="1">
      <alignment horizontal="center"/>
    </xf>
    <xf numFmtId="169" fontId="20" fillId="7" borderId="0" xfId="0" applyNumberFormat="1" applyFont="1" applyFill="1" applyAlignment="1" applyProtection="1">
      <alignment horizontal="center" vertical="center"/>
    </xf>
    <xf numFmtId="179" fontId="20" fillId="7" borderId="0" xfId="20" applyNumberFormat="1" applyFont="1" applyFill="1" applyAlignment="1" applyProtection="1">
      <alignment horizontal="justify" vertical="center"/>
    </xf>
    <xf numFmtId="179" fontId="20" fillId="7" borderId="0" xfId="20" applyNumberFormat="1" applyFont="1" applyFill="1" applyAlignment="1" applyProtection="1">
      <alignment horizontal="right" vertical="center"/>
    </xf>
    <xf numFmtId="0" fontId="12" fillId="0" borderId="1" xfId="0" applyFont="1" applyBorder="1"/>
    <xf numFmtId="0" fontId="13" fillId="0" borderId="0" xfId="0" applyFont="1"/>
    <xf numFmtId="0" fontId="12" fillId="0" borderId="1" xfId="0" applyFont="1" applyBorder="1" applyAlignment="1">
      <alignment horizontal="left"/>
    </xf>
    <xf numFmtId="168" fontId="12" fillId="0" borderId="1" xfId="0" applyNumberFormat="1" applyFont="1" applyBorder="1" applyAlignment="1">
      <alignment horizontal="left"/>
    </xf>
    <xf numFmtId="17" fontId="12" fillId="0" borderId="1" xfId="0" applyNumberFormat="1" applyFont="1" applyBorder="1" applyAlignment="1">
      <alignment horizontal="left"/>
    </xf>
    <xf numFmtId="3" fontId="14" fillId="5" borderId="1" xfId="0" applyNumberFormat="1" applyFont="1" applyFill="1" applyBorder="1" applyAlignment="1">
      <alignment horizontal="left" vertical="center" wrapText="1"/>
    </xf>
    <xf numFmtId="0" fontId="13" fillId="0" borderId="0" xfId="0" applyFont="1" applyAlignment="1">
      <alignment wrapTex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39" fillId="0" borderId="0" xfId="0" applyFont="1"/>
    <xf numFmtId="0" fontId="38" fillId="8" borderId="1" xfId="0" applyFont="1" applyFill="1" applyBorder="1" applyAlignment="1">
      <alignment horizontal="center" vertical="center" textRotation="90" wrapText="1"/>
    </xf>
    <xf numFmtId="49" fontId="38" fillId="8" borderId="1" xfId="0" applyNumberFormat="1" applyFont="1" applyFill="1" applyBorder="1" applyAlignment="1">
      <alignment horizontal="center" vertical="center" textRotation="90" wrapText="1"/>
    </xf>
    <xf numFmtId="0" fontId="12" fillId="10" borderId="1" xfId="0" applyFont="1" applyFill="1" applyBorder="1" applyAlignment="1">
      <alignment horizontal="center" vertical="center" wrapText="1"/>
    </xf>
    <xf numFmtId="0" fontId="12" fillId="10" borderId="9" xfId="0" applyFont="1" applyFill="1" applyBorder="1" applyAlignment="1">
      <alignment horizontal="left" vertical="center"/>
    </xf>
    <xf numFmtId="0" fontId="12" fillId="10" borderId="10" xfId="0" applyFont="1" applyFill="1" applyBorder="1" applyAlignment="1">
      <alignment horizontal="left" vertical="center"/>
    </xf>
    <xf numFmtId="0" fontId="12" fillId="10" borderId="10" xfId="0" applyFont="1" applyFill="1" applyBorder="1" applyAlignment="1">
      <alignment vertical="center" wrapText="1"/>
    </xf>
    <xf numFmtId="0" fontId="12" fillId="10" borderId="15" xfId="0" applyFont="1" applyFill="1" applyBorder="1" applyAlignment="1">
      <alignment vertical="center" wrapText="1"/>
    </xf>
    <xf numFmtId="0" fontId="12" fillId="11" borderId="9" xfId="0" applyFont="1" applyFill="1" applyBorder="1" applyAlignment="1">
      <alignment horizontal="center" vertical="center" wrapText="1"/>
    </xf>
    <xf numFmtId="0" fontId="12" fillId="11" borderId="10" xfId="0" applyFont="1" applyFill="1" applyBorder="1" applyAlignment="1">
      <alignment horizontal="left" vertical="center"/>
    </xf>
    <xf numFmtId="0" fontId="12" fillId="11" borderId="10" xfId="0" applyFont="1" applyFill="1" applyBorder="1" applyAlignment="1">
      <alignment vertical="center" wrapText="1"/>
    </xf>
    <xf numFmtId="0" fontId="12" fillId="11" borderId="9" xfId="0" applyFont="1" applyFill="1" applyBorder="1" applyAlignment="1">
      <alignment vertical="center" wrapText="1"/>
    </xf>
    <xf numFmtId="0" fontId="12" fillId="11" borderId="15" xfId="0" applyFont="1" applyFill="1" applyBorder="1" applyAlignment="1">
      <alignment vertical="center" wrapText="1"/>
    </xf>
    <xf numFmtId="0" fontId="12" fillId="16" borderId="9" xfId="0" applyFont="1" applyFill="1" applyBorder="1" applyAlignment="1">
      <alignment horizontal="center" vertical="center" wrapText="1"/>
    </xf>
    <xf numFmtId="0" fontId="12" fillId="16" borderId="10" xfId="0" applyFont="1" applyFill="1" applyBorder="1" applyAlignment="1">
      <alignment vertical="center"/>
    </xf>
    <xf numFmtId="0" fontId="12" fillId="16" borderId="15" xfId="0" applyFont="1" applyFill="1" applyBorder="1" applyAlignment="1">
      <alignment vertical="center" wrapText="1"/>
    </xf>
    <xf numFmtId="0" fontId="12" fillId="16" borderId="10" xfId="0" applyFont="1" applyFill="1" applyBorder="1" applyAlignment="1">
      <alignment vertical="center" wrapText="1"/>
    </xf>
    <xf numFmtId="43" fontId="13" fillId="0" borderId="1" xfId="1" applyFont="1" applyBorder="1" applyAlignment="1">
      <alignment vertical="center"/>
    </xf>
    <xf numFmtId="0" fontId="20" fillId="0" borderId="14" xfId="0" applyFont="1" applyFill="1" applyBorder="1" applyAlignment="1" applyProtection="1">
      <alignment horizontal="center" vertical="center" wrapText="1"/>
    </xf>
    <xf numFmtId="0" fontId="20" fillId="0" borderId="14" xfId="0" applyFont="1" applyFill="1" applyBorder="1" applyAlignment="1" applyProtection="1">
      <alignment vertical="center" wrapText="1"/>
    </xf>
    <xf numFmtId="43" fontId="13" fillId="0" borderId="1" xfId="1" applyFont="1" applyBorder="1" applyAlignment="1">
      <alignment horizontal="center" vertical="center" wrapText="1"/>
    </xf>
    <xf numFmtId="43" fontId="13" fillId="0" borderId="1" xfId="1" applyFont="1" applyBorder="1" applyAlignment="1">
      <alignment vertical="center" wrapText="1"/>
    </xf>
    <xf numFmtId="0" fontId="12" fillId="0" borderId="19" xfId="0" applyFont="1" applyBorder="1" applyAlignment="1">
      <alignment vertical="center"/>
    </xf>
    <xf numFmtId="0" fontId="12" fillId="0" borderId="20" xfId="0" applyFont="1" applyBorder="1" applyAlignment="1">
      <alignment vertical="center"/>
    </xf>
    <xf numFmtId="0" fontId="26" fillId="0" borderId="21" xfId="0" applyFont="1" applyBorder="1" applyAlignment="1">
      <alignment vertical="center"/>
    </xf>
    <xf numFmtId="0" fontId="26" fillId="0" borderId="0" xfId="0" applyFont="1" applyAlignment="1">
      <alignment vertical="center"/>
    </xf>
    <xf numFmtId="165" fontId="26" fillId="0" borderId="1" xfId="0" applyNumberFormat="1" applyFont="1" applyBorder="1" applyAlignment="1">
      <alignment vertical="center"/>
    </xf>
    <xf numFmtId="43" fontId="26" fillId="0" borderId="53" xfId="1" applyFont="1" applyBorder="1" applyAlignment="1">
      <alignment vertical="center"/>
    </xf>
    <xf numFmtId="165" fontId="26" fillId="0" borderId="54" xfId="0" applyNumberFormat="1" applyFont="1" applyBorder="1" applyAlignment="1">
      <alignment vertical="center"/>
    </xf>
    <xf numFmtId="0" fontId="12" fillId="7" borderId="55" xfId="0" applyFont="1" applyFill="1" applyBorder="1" applyAlignment="1">
      <alignment horizontal="justify" vertical="center"/>
    </xf>
    <xf numFmtId="0" fontId="12" fillId="0" borderId="55" xfId="0" applyFont="1" applyBorder="1" applyAlignment="1">
      <alignment horizontal="right" vertical="center"/>
    </xf>
    <xf numFmtId="0" fontId="12" fillId="0" borderId="53" xfId="0" applyFont="1" applyBorder="1" applyAlignment="1">
      <alignment horizontal="left" vertical="center"/>
    </xf>
    <xf numFmtId="0" fontId="12" fillId="0" borderId="0" xfId="0" applyFont="1" applyAlignment="1">
      <alignment vertical="center"/>
    </xf>
    <xf numFmtId="3" fontId="13" fillId="0" borderId="0" xfId="0" applyNumberFormat="1" applyFont="1"/>
    <xf numFmtId="165" fontId="13" fillId="0" borderId="0" xfId="0" applyNumberFormat="1" applyFont="1"/>
    <xf numFmtId="3" fontId="12" fillId="7" borderId="3" xfId="0" applyNumberFormat="1" applyFont="1" applyFill="1" applyBorder="1" applyAlignment="1">
      <alignment vertical="center"/>
    </xf>
    <xf numFmtId="0" fontId="12" fillId="0" borderId="3" xfId="0" applyFont="1" applyBorder="1"/>
    <xf numFmtId="0" fontId="12" fillId="0" borderId="0" xfId="0" applyFont="1"/>
    <xf numFmtId="0" fontId="30" fillId="0" borderId="1" xfId="0" applyFont="1" applyBorder="1" applyAlignment="1">
      <alignment vertical="center"/>
    </xf>
    <xf numFmtId="0" fontId="30" fillId="0" borderId="1" xfId="0" applyFont="1" applyBorder="1" applyAlignment="1">
      <alignment horizontal="left" vertical="center"/>
    </xf>
    <xf numFmtId="0" fontId="30" fillId="0" borderId="1" xfId="0" applyFont="1" applyBorder="1" applyAlignment="1">
      <alignment vertical="center" wrapText="1"/>
    </xf>
    <xf numFmtId="3" fontId="5" fillId="0" borderId="1" xfId="0" applyNumberFormat="1" applyFont="1" applyBorder="1" applyAlignment="1">
      <alignment horizontal="left" vertical="center" wrapText="1"/>
    </xf>
    <xf numFmtId="0" fontId="30" fillId="0" borderId="10" xfId="0" applyFont="1" applyBorder="1" applyAlignment="1">
      <alignment horizontal="center" vertical="center"/>
    </xf>
    <xf numFmtId="0" fontId="30" fillId="8" borderId="1" xfId="0" applyFont="1" applyFill="1" applyBorder="1" applyAlignment="1">
      <alignment horizontal="center" vertical="center" textRotation="90" wrapText="1"/>
    </xf>
    <xf numFmtId="49" fontId="30" fillId="8" borderId="1" xfId="0" applyNumberFormat="1" applyFont="1" applyFill="1" applyBorder="1" applyAlignment="1">
      <alignment horizontal="center" vertical="center" textRotation="90" wrapText="1"/>
    </xf>
    <xf numFmtId="0" fontId="30" fillId="8" borderId="9" xfId="0" applyFont="1" applyFill="1" applyBorder="1" applyAlignment="1">
      <alignment horizontal="center" vertical="center" textRotation="90" wrapText="1"/>
    </xf>
    <xf numFmtId="1" fontId="12" fillId="17" borderId="9" xfId="0" applyNumberFormat="1" applyFont="1" applyFill="1" applyBorder="1" applyAlignment="1">
      <alignment horizontal="left" vertical="center" wrapText="1"/>
    </xf>
    <xf numFmtId="0" fontId="12" fillId="17" borderId="10" xfId="0" applyFont="1" applyFill="1" applyBorder="1" applyAlignment="1">
      <alignment vertical="center"/>
    </xf>
    <xf numFmtId="0" fontId="12" fillId="17" borderId="10" xfId="0" applyFont="1" applyFill="1" applyBorder="1" applyAlignment="1">
      <alignment horizontal="justify" vertical="center"/>
    </xf>
    <xf numFmtId="0" fontId="12" fillId="17" borderId="10" xfId="0" applyFont="1" applyFill="1" applyBorder="1" applyAlignment="1">
      <alignment horizontal="center" vertical="center"/>
    </xf>
    <xf numFmtId="169" fontId="12" fillId="17" borderId="10" xfId="0" applyNumberFormat="1" applyFont="1" applyFill="1" applyBorder="1" applyAlignment="1">
      <alignment horizontal="center" vertical="center"/>
    </xf>
    <xf numFmtId="165" fontId="12" fillId="17" borderId="10" xfId="0" applyNumberFormat="1" applyFont="1" applyFill="1" applyBorder="1" applyAlignment="1">
      <alignment vertical="center"/>
    </xf>
    <xf numFmtId="181" fontId="12" fillId="17" borderId="10" xfId="22" applyFont="1" applyFill="1" applyBorder="1" applyAlignment="1">
      <alignment horizontal="center" vertical="center"/>
    </xf>
    <xf numFmtId="1" fontId="12" fillId="17" borderId="10" xfId="0" applyNumberFormat="1" applyFont="1" applyFill="1" applyBorder="1" applyAlignment="1">
      <alignment horizontal="center" vertical="center"/>
    </xf>
    <xf numFmtId="166" fontId="12" fillId="17" borderId="10" xfId="0" applyNumberFormat="1" applyFont="1" applyFill="1" applyBorder="1" applyAlignment="1">
      <alignment vertical="center"/>
    </xf>
    <xf numFmtId="0" fontId="12" fillId="17" borderId="15" xfId="0" applyFont="1" applyFill="1" applyBorder="1" applyAlignment="1">
      <alignment horizontal="justify" vertical="center"/>
    </xf>
    <xf numFmtId="0" fontId="13" fillId="7" borderId="0" xfId="0" applyFont="1" applyFill="1"/>
    <xf numFmtId="0" fontId="13" fillId="7" borderId="7" xfId="0" applyFont="1" applyFill="1" applyBorder="1" applyAlignment="1">
      <alignment vertical="center" wrapText="1"/>
    </xf>
    <xf numFmtId="0" fontId="13" fillId="7" borderId="3" xfId="0" applyFont="1" applyFill="1" applyBorder="1" applyAlignment="1">
      <alignment vertical="center" wrapText="1"/>
    </xf>
    <xf numFmtId="0" fontId="13" fillId="7" borderId="6" xfId="0" applyFont="1" applyFill="1" applyBorder="1" applyAlignment="1">
      <alignment vertical="center" wrapText="1"/>
    </xf>
    <xf numFmtId="1" fontId="12" fillId="18" borderId="4" xfId="0" applyNumberFormat="1" applyFont="1" applyFill="1" applyBorder="1" applyAlignment="1">
      <alignment horizontal="center" vertical="center"/>
    </xf>
    <xf numFmtId="0" fontId="12" fillId="18" borderId="2" xfId="0" applyFont="1" applyFill="1" applyBorder="1" applyAlignment="1">
      <alignment vertical="center"/>
    </xf>
    <xf numFmtId="0" fontId="12" fillId="18" borderId="2" xfId="0" applyFont="1" applyFill="1" applyBorder="1" applyAlignment="1">
      <alignment horizontal="justify" vertical="center"/>
    </xf>
    <xf numFmtId="0" fontId="12" fillId="18" borderId="2" xfId="0" applyFont="1" applyFill="1" applyBorder="1" applyAlignment="1">
      <alignment horizontal="center" vertical="center"/>
    </xf>
    <xf numFmtId="169" fontId="12" fillId="18" borderId="2" xfId="0" applyNumberFormat="1" applyFont="1" applyFill="1" applyBorder="1" applyAlignment="1">
      <alignment horizontal="center" vertical="center"/>
    </xf>
    <xf numFmtId="165" fontId="12" fillId="18" borderId="2" xfId="0" applyNumberFormat="1" applyFont="1" applyFill="1" applyBorder="1" applyAlignment="1">
      <alignment vertical="center"/>
    </xf>
    <xf numFmtId="181" fontId="12" fillId="18" borderId="2" xfId="22" applyFont="1" applyFill="1" applyBorder="1" applyAlignment="1">
      <alignment horizontal="center" vertical="center"/>
    </xf>
    <xf numFmtId="1" fontId="12" fillId="18" borderId="2" xfId="0" applyNumberFormat="1" applyFont="1" applyFill="1" applyBorder="1" applyAlignment="1">
      <alignment horizontal="center" vertical="center"/>
    </xf>
    <xf numFmtId="166" fontId="12" fillId="18" borderId="2" xfId="0" applyNumberFormat="1" applyFont="1" applyFill="1" applyBorder="1" applyAlignment="1">
      <alignment vertical="center"/>
    </xf>
    <xf numFmtId="0" fontId="12" fillId="18" borderId="5" xfId="0" applyFont="1" applyFill="1" applyBorder="1" applyAlignment="1">
      <alignment horizontal="justify" vertical="center"/>
    </xf>
    <xf numFmtId="0" fontId="13" fillId="7" borderId="12" xfId="0" applyFont="1" applyFill="1" applyBorder="1" applyAlignment="1">
      <alignment vertical="center" wrapText="1"/>
    </xf>
    <xf numFmtId="0" fontId="13" fillId="7" borderId="0" xfId="0" applyFont="1" applyFill="1" applyAlignment="1">
      <alignment vertical="center" wrapText="1"/>
    </xf>
    <xf numFmtId="0" fontId="13" fillId="7" borderId="11" xfId="0" applyFont="1" applyFill="1" applyBorder="1" applyAlignment="1">
      <alignment vertical="center" wrapText="1"/>
    </xf>
    <xf numFmtId="0" fontId="12" fillId="7" borderId="7" xfId="0" applyFont="1" applyFill="1" applyBorder="1" applyAlignment="1">
      <alignment horizontal="center" vertical="center" wrapText="1"/>
    </xf>
    <xf numFmtId="0" fontId="12" fillId="7" borderId="0" xfId="0" applyFont="1" applyFill="1" applyAlignment="1">
      <alignment horizontal="center" vertical="center" wrapText="1"/>
    </xf>
    <xf numFmtId="1" fontId="12" fillId="19" borderId="9" xfId="0" applyNumberFormat="1" applyFont="1" applyFill="1" applyBorder="1" applyAlignment="1">
      <alignment horizontal="left" vertical="center" wrapText="1" indent="1"/>
    </xf>
    <xf numFmtId="0" fontId="12" fillId="19" borderId="10" xfId="0" applyFont="1" applyFill="1" applyBorder="1" applyAlignment="1">
      <alignment vertical="center"/>
    </xf>
    <xf numFmtId="0" fontId="12" fillId="19" borderId="10" xfId="0" applyFont="1" applyFill="1" applyBorder="1" applyAlignment="1">
      <alignment horizontal="justify" vertical="center"/>
    </xf>
    <xf numFmtId="0" fontId="12" fillId="19" borderId="10" xfId="0" applyFont="1" applyFill="1" applyBorder="1" applyAlignment="1">
      <alignment horizontal="center" vertical="center"/>
    </xf>
    <xf numFmtId="169" fontId="12" fillId="19" borderId="10" xfId="0" applyNumberFormat="1" applyFont="1" applyFill="1" applyBorder="1" applyAlignment="1">
      <alignment horizontal="center" vertical="center"/>
    </xf>
    <xf numFmtId="165" fontId="12" fillId="19" borderId="10" xfId="0" applyNumberFormat="1" applyFont="1" applyFill="1" applyBorder="1" applyAlignment="1">
      <alignment vertical="center"/>
    </xf>
    <xf numFmtId="181" fontId="12" fillId="19" borderId="10" xfId="22" applyFont="1" applyFill="1" applyBorder="1" applyAlignment="1">
      <alignment horizontal="center" vertical="center"/>
    </xf>
    <xf numFmtId="1" fontId="12" fillId="19" borderId="10" xfId="0" applyNumberFormat="1" applyFont="1" applyFill="1" applyBorder="1" applyAlignment="1">
      <alignment horizontal="center" vertical="center"/>
    </xf>
    <xf numFmtId="166" fontId="12" fillId="19" borderId="10" xfId="0" applyNumberFormat="1" applyFont="1" applyFill="1" applyBorder="1" applyAlignment="1">
      <alignment vertical="center"/>
    </xf>
    <xf numFmtId="0" fontId="12" fillId="19" borderId="15" xfId="0" applyFont="1" applyFill="1" applyBorder="1" applyAlignment="1">
      <alignment horizontal="justify" vertical="center"/>
    </xf>
    <xf numFmtId="0" fontId="13" fillId="7" borderId="12" xfId="0" applyFont="1" applyFill="1" applyBorder="1" applyAlignment="1">
      <alignment horizontal="center" vertical="center" wrapText="1"/>
    </xf>
    <xf numFmtId="0" fontId="13" fillId="7" borderId="0" xfId="0" applyFont="1" applyFill="1" applyAlignment="1">
      <alignment horizontal="center" vertical="center" wrapText="1"/>
    </xf>
    <xf numFmtId="0" fontId="13" fillId="7" borderId="7" xfId="0" applyFont="1" applyFill="1" applyBorder="1" applyAlignment="1">
      <alignment horizontal="center" vertical="center" wrapText="1"/>
    </xf>
    <xf numFmtId="9" fontId="13" fillId="7" borderId="1" xfId="0" applyNumberFormat="1" applyFont="1" applyFill="1" applyBorder="1" applyAlignment="1">
      <alignment horizontal="center" vertical="center" wrapText="1"/>
    </xf>
    <xf numFmtId="43" fontId="13" fillId="7" borderId="14" xfId="1" applyFont="1" applyFill="1" applyBorder="1" applyAlignment="1">
      <alignment horizontal="center" vertical="center" wrapText="1"/>
    </xf>
    <xf numFmtId="0" fontId="40" fillId="7" borderId="14" xfId="0" applyFont="1" applyFill="1" applyBorder="1" applyAlignment="1">
      <alignment horizontal="center" vertical="center" wrapText="1"/>
    </xf>
    <xf numFmtId="0" fontId="13" fillId="7" borderId="0" xfId="0" applyFont="1" applyFill="1" applyBorder="1" applyAlignment="1">
      <alignment horizontal="center" vertical="center"/>
    </xf>
    <xf numFmtId="43" fontId="13" fillId="7" borderId="1" xfId="1" applyFont="1" applyFill="1" applyBorder="1" applyAlignment="1">
      <alignment horizontal="center"/>
    </xf>
    <xf numFmtId="0" fontId="40" fillId="7" borderId="1" xfId="0" applyFont="1" applyFill="1" applyBorder="1" applyAlignment="1">
      <alignment horizontal="center" vertical="center"/>
    </xf>
    <xf numFmtId="43" fontId="13" fillId="7" borderId="1" xfId="1" applyFont="1" applyFill="1" applyBorder="1" applyAlignment="1">
      <alignment horizontal="center" vertical="center" wrapText="1"/>
    </xf>
    <xf numFmtId="0" fontId="40" fillId="7" borderId="1" xfId="0" applyFont="1" applyFill="1" applyBorder="1" applyAlignment="1">
      <alignment horizontal="center" vertical="center" wrapText="1"/>
    </xf>
    <xf numFmtId="43" fontId="13" fillId="0" borderId="1" xfId="1" applyFont="1" applyFill="1" applyBorder="1" applyAlignment="1">
      <alignment horizontal="center" vertical="center" wrapText="1"/>
    </xf>
    <xf numFmtId="43" fontId="12" fillId="19" borderId="10" xfId="1" applyFont="1" applyFill="1" applyBorder="1" applyAlignment="1">
      <alignment vertical="center"/>
    </xf>
    <xf numFmtId="43" fontId="12" fillId="19" borderId="10" xfId="1" applyFont="1" applyFill="1" applyBorder="1" applyAlignment="1">
      <alignment horizontal="center" vertical="center"/>
    </xf>
    <xf numFmtId="0" fontId="13" fillId="19" borderId="10" xfId="0" applyFont="1" applyFill="1" applyBorder="1" applyAlignment="1">
      <alignment vertical="center"/>
    </xf>
    <xf numFmtId="0" fontId="13" fillId="19" borderId="15" xfId="0" applyFont="1" applyFill="1" applyBorder="1" applyAlignment="1">
      <alignment horizontal="justify" vertical="center"/>
    </xf>
    <xf numFmtId="0" fontId="16" fillId="7" borderId="8" xfId="0" applyFont="1" applyFill="1" applyBorder="1" applyAlignment="1">
      <alignment horizontal="justify" vertical="center"/>
    </xf>
    <xf numFmtId="43" fontId="12" fillId="18" borderId="2" xfId="1" applyFont="1" applyFill="1" applyBorder="1" applyAlignment="1">
      <alignment vertical="center"/>
    </xf>
    <xf numFmtId="43" fontId="12" fillId="18" borderId="2" xfId="1" applyFont="1" applyFill="1" applyBorder="1" applyAlignment="1">
      <alignment horizontal="center" vertical="center"/>
    </xf>
    <xf numFmtId="43" fontId="13" fillId="0" borderId="1" xfId="1" applyFont="1" applyBorder="1" applyAlignment="1">
      <alignment horizontal="center" vertical="center"/>
    </xf>
    <xf numFmtId="0" fontId="40" fillId="0" borderId="1" xfId="0" applyFont="1" applyBorder="1" applyAlignment="1">
      <alignment horizontal="center" vertical="center" wrapText="1"/>
    </xf>
    <xf numFmtId="0" fontId="13" fillId="7" borderId="4" xfId="0" applyFont="1" applyFill="1" applyBorder="1" applyAlignment="1">
      <alignment vertical="center" wrapText="1"/>
    </xf>
    <xf numFmtId="0" fontId="13" fillId="7" borderId="2" xfId="0" applyFont="1" applyFill="1" applyBorder="1" applyAlignment="1">
      <alignment vertical="center" wrapText="1"/>
    </xf>
    <xf numFmtId="0" fontId="13" fillId="7" borderId="5" xfId="0" applyFont="1" applyFill="1" applyBorder="1" applyAlignment="1">
      <alignment vertical="center" wrapText="1"/>
    </xf>
    <xf numFmtId="0" fontId="13" fillId="7" borderId="4" xfId="0" applyFont="1" applyFill="1" applyBorder="1" applyAlignment="1">
      <alignment horizontal="center" vertical="center" wrapText="1"/>
    </xf>
    <xf numFmtId="1" fontId="13" fillId="0" borderId="9" xfId="0" applyNumberFormat="1" applyFont="1" applyBorder="1"/>
    <xf numFmtId="0" fontId="13" fillId="0" borderId="10" xfId="0" applyFont="1" applyBorder="1"/>
    <xf numFmtId="0" fontId="13" fillId="7" borderId="10" xfId="0" applyFont="1" applyFill="1" applyBorder="1" applyAlignment="1">
      <alignment horizontal="justify" vertical="center"/>
    </xf>
    <xf numFmtId="0" fontId="13" fillId="7" borderId="10" xfId="0" applyFont="1" applyFill="1" applyBorder="1"/>
    <xf numFmtId="0" fontId="13" fillId="7" borderId="10" xfId="0" applyFont="1" applyFill="1" applyBorder="1" applyAlignment="1">
      <alignment horizontal="center"/>
    </xf>
    <xf numFmtId="169" fontId="13" fillId="7" borderId="10" xfId="0" applyNumberFormat="1" applyFont="1" applyFill="1" applyBorder="1" applyAlignment="1">
      <alignment horizontal="center" vertical="center"/>
    </xf>
    <xf numFmtId="43" fontId="12" fillId="7" borderId="10" xfId="1" applyFont="1" applyFill="1" applyBorder="1" applyAlignment="1">
      <alignment horizontal="center" vertical="center"/>
    </xf>
    <xf numFmtId="0" fontId="13" fillId="7" borderId="15" xfId="0" applyFont="1" applyFill="1" applyBorder="1" applyAlignment="1">
      <alignment horizontal="justify" vertical="center"/>
    </xf>
    <xf numFmtId="43" fontId="12" fillId="7" borderId="9" xfId="1" applyFont="1" applyFill="1" applyBorder="1" applyAlignment="1">
      <alignment horizontal="center" vertical="center"/>
    </xf>
    <xf numFmtId="1" fontId="13" fillId="7" borderId="9" xfId="0" applyNumberFormat="1" applyFont="1" applyFill="1" applyBorder="1" applyAlignment="1">
      <alignment horizontal="center" vertical="center"/>
    </xf>
    <xf numFmtId="0" fontId="13" fillId="7" borderId="10" xfId="0" applyFont="1" applyFill="1" applyBorder="1" applyAlignment="1">
      <alignment horizontal="center" vertical="center"/>
    </xf>
    <xf numFmtId="166" fontId="13" fillId="0" borderId="10" xfId="0" applyNumberFormat="1" applyFont="1" applyBorder="1" applyAlignment="1">
      <alignment horizontal="right" vertical="center"/>
    </xf>
    <xf numFmtId="166" fontId="13" fillId="0" borderId="10" xfId="0" applyNumberFormat="1" applyFont="1" applyBorder="1" applyAlignment="1">
      <alignment horizontal="center"/>
    </xf>
    <xf numFmtId="0" fontId="13" fillId="0" borderId="15" xfId="0" applyFont="1" applyBorder="1"/>
    <xf numFmtId="1" fontId="13" fillId="0" borderId="0" xfId="0" applyNumberFormat="1" applyFont="1"/>
    <xf numFmtId="0" fontId="13" fillId="7" borderId="0" xfId="0" applyFont="1" applyFill="1" applyAlignment="1">
      <alignment horizontal="center"/>
    </xf>
    <xf numFmtId="169" fontId="13" fillId="7" borderId="0" xfId="0" applyNumberFormat="1" applyFont="1" applyFill="1" applyAlignment="1">
      <alignment horizontal="center" vertical="center"/>
    </xf>
    <xf numFmtId="165" fontId="41" fillId="7" borderId="0" xfId="0" applyNumberFormat="1" applyFont="1" applyFill="1" applyAlignment="1">
      <alignment vertical="center"/>
    </xf>
    <xf numFmtId="181" fontId="42" fillId="7" borderId="0" xfId="22" applyFont="1" applyFill="1" applyAlignment="1">
      <alignment horizontal="center" vertical="center"/>
    </xf>
    <xf numFmtId="166" fontId="13" fillId="0" borderId="0" xfId="0" applyNumberFormat="1" applyFont="1" applyAlignment="1">
      <alignment horizontal="center"/>
    </xf>
    <xf numFmtId="181" fontId="13" fillId="7" borderId="0" xfId="22" applyFont="1" applyFill="1" applyAlignment="1">
      <alignment horizontal="center" vertical="center"/>
    </xf>
    <xf numFmtId="0" fontId="14" fillId="0" borderId="1" xfId="0" applyNumberFormat="1" applyFont="1" applyFill="1" applyBorder="1" applyAlignment="1" applyProtection="1">
      <alignment vertical="center"/>
    </xf>
    <xf numFmtId="0" fontId="35" fillId="20" borderId="0" xfId="0" applyNumberFormat="1" applyFont="1" applyFill="1" applyBorder="1" applyAlignment="1" applyProtection="1"/>
    <xf numFmtId="0" fontId="35" fillId="0" borderId="0" xfId="0" applyNumberFormat="1" applyFont="1" applyFill="1" applyBorder="1" applyAlignment="1" applyProtection="1"/>
    <xf numFmtId="0" fontId="14" fillId="0" borderId="1" xfId="0" applyNumberFormat="1" applyFont="1" applyFill="1" applyBorder="1" applyAlignment="1" applyProtection="1">
      <alignment horizontal="left" vertical="center"/>
    </xf>
    <xf numFmtId="0" fontId="14" fillId="0" borderId="1" xfId="0" applyNumberFormat="1" applyFont="1" applyFill="1" applyBorder="1" applyAlignment="1" applyProtection="1">
      <alignment vertical="center" wrapText="1"/>
    </xf>
    <xf numFmtId="3" fontId="14" fillId="0" borderId="1" xfId="0" applyNumberFormat="1" applyFont="1" applyFill="1" applyBorder="1" applyAlignment="1" applyProtection="1">
      <alignment horizontal="left" vertical="center" wrapText="1"/>
    </xf>
    <xf numFmtId="0" fontId="14" fillId="0" borderId="4" xfId="0" applyNumberFormat="1" applyFont="1" applyFill="1" applyBorder="1" applyAlignment="1" applyProtection="1">
      <alignment vertical="center"/>
    </xf>
    <xf numFmtId="0" fontId="14" fillId="0" borderId="2" xfId="0" applyNumberFormat="1" applyFont="1" applyFill="1" applyBorder="1" applyAlignment="1" applyProtection="1">
      <alignment vertical="center"/>
    </xf>
    <xf numFmtId="44" fontId="14" fillId="0" borderId="2" xfId="0" applyNumberFormat="1" applyFont="1" applyFill="1" applyBorder="1" applyAlignment="1" applyProtection="1">
      <alignment vertical="center"/>
    </xf>
    <xf numFmtId="0" fontId="14" fillId="0" borderId="2" xfId="0" applyNumberFormat="1" applyFont="1" applyFill="1" applyBorder="1" applyAlignment="1" applyProtection="1">
      <alignment horizontal="center" vertical="center"/>
    </xf>
    <xf numFmtId="0" fontId="14" fillId="0" borderId="5" xfId="0" applyNumberFormat="1" applyFont="1" applyFill="1" applyBorder="1" applyAlignment="1" applyProtection="1">
      <alignment vertical="center"/>
    </xf>
    <xf numFmtId="1" fontId="14" fillId="21" borderId="8" xfId="0" applyNumberFormat="1" applyFont="1" applyFill="1" applyBorder="1" applyAlignment="1" applyProtection="1">
      <alignment horizontal="center" vertical="center" wrapText="1"/>
    </xf>
    <xf numFmtId="1" fontId="14" fillId="21" borderId="13" xfId="0" applyNumberFormat="1" applyFont="1" applyFill="1" applyBorder="1" applyAlignment="1" applyProtection="1">
      <alignment horizontal="center" vertical="center" wrapText="1"/>
    </xf>
    <xf numFmtId="0" fontId="14" fillId="21" borderId="8" xfId="0" applyNumberFormat="1" applyFont="1" applyFill="1" applyBorder="1" applyAlignment="1" applyProtection="1">
      <alignment horizontal="center" vertical="center" textRotation="90" wrapText="1"/>
    </xf>
    <xf numFmtId="49" fontId="14" fillId="21" borderId="8" xfId="0" applyNumberFormat="1" applyFont="1" applyFill="1" applyBorder="1" applyAlignment="1" applyProtection="1">
      <alignment horizontal="center" vertical="center" textRotation="90" wrapText="1"/>
    </xf>
    <xf numFmtId="0" fontId="14" fillId="21" borderId="7" xfId="0" applyNumberFormat="1" applyFont="1" applyFill="1" applyBorder="1" applyAlignment="1" applyProtection="1">
      <alignment horizontal="center" vertical="center" textRotation="90" wrapText="1"/>
    </xf>
    <xf numFmtId="1" fontId="14" fillId="23" borderId="9" xfId="0" applyNumberFormat="1" applyFont="1" applyFill="1" applyBorder="1" applyAlignment="1" applyProtection="1">
      <alignment horizontal="center" vertical="center" wrapText="1"/>
    </xf>
    <xf numFmtId="0" fontId="14" fillId="23" borderId="10" xfId="0" applyNumberFormat="1" applyFont="1" applyFill="1" applyBorder="1" applyAlignment="1" applyProtection="1">
      <alignment vertical="center"/>
    </xf>
    <xf numFmtId="0" fontId="14" fillId="23" borderId="10" xfId="0" applyNumberFormat="1" applyFont="1" applyFill="1" applyBorder="1" applyAlignment="1" applyProtection="1">
      <alignment horizontal="justify" vertical="center"/>
    </xf>
    <xf numFmtId="0" fontId="14" fillId="23" borderId="10" xfId="0" applyNumberFormat="1" applyFont="1" applyFill="1" applyBorder="1" applyAlignment="1" applyProtection="1">
      <alignment horizontal="center" vertical="center"/>
    </xf>
    <xf numFmtId="169" fontId="14" fillId="23" borderId="10" xfId="0" applyNumberFormat="1" applyFont="1" applyFill="1" applyBorder="1" applyAlignment="1" applyProtection="1">
      <alignment horizontal="center" vertical="center"/>
    </xf>
    <xf numFmtId="165" fontId="14" fillId="23" borderId="10" xfId="0" applyNumberFormat="1" applyFont="1" applyFill="1" applyBorder="1" applyAlignment="1" applyProtection="1">
      <alignment vertical="center"/>
    </xf>
    <xf numFmtId="44" fontId="14" fillId="23" borderId="10" xfId="0" applyNumberFormat="1" applyFont="1" applyFill="1" applyBorder="1" applyAlignment="1" applyProtection="1">
      <alignment horizontal="center" vertical="center"/>
    </xf>
    <xf numFmtId="1" fontId="14" fillId="23" borderId="10" xfId="0" applyNumberFormat="1" applyFont="1" applyFill="1" applyBorder="1" applyAlignment="1" applyProtection="1">
      <alignment horizontal="center" vertical="center"/>
    </xf>
    <xf numFmtId="166" fontId="14" fillId="23" borderId="10" xfId="0" applyNumberFormat="1" applyFont="1" applyFill="1" applyBorder="1" applyAlignment="1" applyProtection="1">
      <alignment vertical="center"/>
    </xf>
    <xf numFmtId="0" fontId="14" fillId="23" borderId="15" xfId="0" applyNumberFormat="1" applyFont="1" applyFill="1" applyBorder="1" applyAlignment="1" applyProtection="1">
      <alignment horizontal="justify" vertical="center"/>
    </xf>
    <xf numFmtId="1" fontId="14" fillId="24" borderId="1" xfId="0" applyNumberFormat="1" applyFont="1" applyFill="1" applyBorder="1" applyAlignment="1" applyProtection="1">
      <alignment horizontal="center" vertical="center"/>
    </xf>
    <xf numFmtId="0" fontId="14" fillId="24" borderId="1" xfId="0" applyNumberFormat="1" applyFont="1" applyFill="1" applyBorder="1" applyAlignment="1" applyProtection="1">
      <alignment vertical="center"/>
    </xf>
    <xf numFmtId="0" fontId="14" fillId="24" borderId="9" xfId="0" applyNumberFormat="1" applyFont="1" applyFill="1" applyBorder="1" applyAlignment="1" applyProtection="1">
      <alignment vertical="center"/>
    </xf>
    <xf numFmtId="0" fontId="14" fillId="24" borderId="15" xfId="0" applyNumberFormat="1" applyFont="1" applyFill="1" applyBorder="1" applyAlignment="1" applyProtection="1">
      <alignment vertical="center"/>
    </xf>
    <xf numFmtId="0" fontId="14" fillId="24" borderId="1" xfId="0" applyNumberFormat="1" applyFont="1" applyFill="1" applyBorder="1" applyAlignment="1" applyProtection="1">
      <alignment horizontal="justify" vertical="center"/>
    </xf>
    <xf numFmtId="0" fontId="14" fillId="24" borderId="1" xfId="0" applyNumberFormat="1" applyFont="1" applyFill="1" applyBorder="1" applyAlignment="1" applyProtection="1">
      <alignment horizontal="center" vertical="center"/>
    </xf>
    <xf numFmtId="169" fontId="14" fillId="24" borderId="1" xfId="0" applyNumberFormat="1" applyFont="1" applyFill="1" applyBorder="1" applyAlignment="1" applyProtection="1">
      <alignment horizontal="center" vertical="center"/>
    </xf>
    <xf numFmtId="165" fontId="14" fillId="24" borderId="1" xfId="0" applyNumberFormat="1" applyFont="1" applyFill="1" applyBorder="1" applyAlignment="1" applyProtection="1">
      <alignment vertical="center"/>
    </xf>
    <xf numFmtId="44" fontId="14" fillId="24" borderId="1" xfId="0" applyNumberFormat="1" applyFont="1" applyFill="1" applyBorder="1" applyAlignment="1" applyProtection="1">
      <alignment horizontal="center" vertical="center"/>
    </xf>
    <xf numFmtId="166" fontId="14" fillId="24" borderId="1" xfId="0" applyNumberFormat="1" applyFont="1" applyFill="1" applyBorder="1" applyAlignment="1" applyProtection="1">
      <alignment vertical="center"/>
    </xf>
    <xf numFmtId="1" fontId="14" fillId="25" borderId="1" xfId="0" applyNumberFormat="1" applyFont="1" applyFill="1" applyBorder="1" applyAlignment="1" applyProtection="1">
      <alignment horizontal="center" vertical="center" wrapText="1"/>
    </xf>
    <xf numFmtId="0" fontId="14" fillId="25" borderId="1" xfId="0" applyNumberFormat="1" applyFont="1" applyFill="1" applyBorder="1" applyAlignment="1" applyProtection="1">
      <alignment vertical="center"/>
    </xf>
    <xf numFmtId="0" fontId="14" fillId="25" borderId="1" xfId="0" applyNumberFormat="1" applyFont="1" applyFill="1" applyBorder="1" applyAlignment="1" applyProtection="1">
      <alignment horizontal="justify" vertical="center"/>
    </xf>
    <xf numFmtId="0" fontId="14" fillId="25" borderId="1" xfId="0" applyNumberFormat="1" applyFont="1" applyFill="1" applyBorder="1" applyAlignment="1" applyProtection="1">
      <alignment horizontal="center" vertical="center"/>
    </xf>
    <xf numFmtId="169" fontId="14" fillId="25" borderId="1" xfId="0" applyNumberFormat="1" applyFont="1" applyFill="1" applyBorder="1" applyAlignment="1" applyProtection="1">
      <alignment horizontal="center" vertical="center"/>
    </xf>
    <xf numFmtId="165" fontId="14" fillId="25" borderId="1" xfId="0" applyNumberFormat="1" applyFont="1" applyFill="1" applyBorder="1" applyAlignment="1" applyProtection="1">
      <alignment vertical="center"/>
    </xf>
    <xf numFmtId="44" fontId="14" fillId="25" borderId="1" xfId="0" applyNumberFormat="1" applyFont="1" applyFill="1" applyBorder="1" applyAlignment="1" applyProtection="1">
      <alignment horizontal="center" vertical="center"/>
    </xf>
    <xf numFmtId="1" fontId="14" fillId="25" borderId="1" xfId="0" applyNumberFormat="1" applyFont="1" applyFill="1" applyBorder="1" applyAlignment="1" applyProtection="1">
      <alignment horizontal="center" vertical="center"/>
    </xf>
    <xf numFmtId="166" fontId="14" fillId="25" borderId="1" xfId="0" applyNumberFormat="1" applyFont="1" applyFill="1" applyBorder="1" applyAlignment="1" applyProtection="1">
      <alignment vertical="center"/>
    </xf>
    <xf numFmtId="43" fontId="4" fillId="20" borderId="1" xfId="1" applyFont="1" applyFill="1" applyBorder="1" applyAlignment="1" applyProtection="1">
      <alignment vertical="center" wrapText="1"/>
    </xf>
    <xf numFmtId="49" fontId="4" fillId="20" borderId="1" xfId="0" applyNumberFormat="1" applyFont="1" applyFill="1" applyBorder="1" applyAlignment="1" applyProtection="1">
      <alignment horizontal="center" vertical="center" wrapText="1"/>
    </xf>
    <xf numFmtId="0" fontId="4" fillId="20" borderId="1" xfId="0" applyNumberFormat="1" applyFont="1" applyFill="1" applyBorder="1" applyAlignment="1" applyProtection="1">
      <alignment horizontal="center" vertical="center" wrapText="1"/>
    </xf>
    <xf numFmtId="1" fontId="4" fillId="20" borderId="1" xfId="0" applyNumberFormat="1" applyFont="1" applyFill="1" applyBorder="1" applyAlignment="1" applyProtection="1">
      <alignment horizontal="center" vertical="center" wrapText="1"/>
    </xf>
    <xf numFmtId="3" fontId="4" fillId="20" borderId="1" xfId="0" applyNumberFormat="1" applyFont="1" applyFill="1" applyBorder="1" applyAlignment="1" applyProtection="1">
      <alignment horizontal="justify" vertical="center" wrapText="1"/>
    </xf>
    <xf numFmtId="0" fontId="4" fillId="20" borderId="0" xfId="0" applyNumberFormat="1" applyFont="1" applyFill="1" applyBorder="1" applyAlignment="1" applyProtection="1"/>
    <xf numFmtId="0" fontId="4" fillId="20" borderId="1" xfId="0" applyNumberFormat="1" applyFont="1" applyFill="1" applyBorder="1" applyAlignment="1" applyProtection="1">
      <alignment horizontal="justify" vertical="center" wrapText="1"/>
    </xf>
    <xf numFmtId="0" fontId="4" fillId="20" borderId="0" xfId="0" applyNumberFormat="1" applyFont="1" applyFill="1" applyBorder="1" applyAlignment="1" applyProtection="1">
      <alignment horizontal="justify"/>
    </xf>
    <xf numFmtId="9" fontId="4" fillId="20" borderId="1" xfId="0" applyNumberFormat="1" applyFont="1" applyFill="1" applyBorder="1" applyAlignment="1" applyProtection="1">
      <alignment horizontal="center" vertical="center" wrapText="1"/>
    </xf>
    <xf numFmtId="43" fontId="4" fillId="20" borderId="1" xfId="1" applyFont="1" applyFill="1" applyBorder="1" applyAlignment="1" applyProtection="1">
      <alignment horizontal="center" vertical="center" wrapText="1"/>
    </xf>
    <xf numFmtId="3" fontId="44" fillId="0" borderId="1" xfId="0" applyNumberFormat="1" applyFont="1" applyFill="1" applyBorder="1" applyAlignment="1" applyProtection="1">
      <alignment horizontal="center" vertical="center"/>
    </xf>
    <xf numFmtId="14" fontId="44" fillId="20" borderId="1" xfId="0" applyNumberFormat="1" applyFont="1" applyFill="1" applyBorder="1" applyAlignment="1" applyProtection="1">
      <alignment horizontal="center" vertical="center" wrapText="1"/>
    </xf>
    <xf numFmtId="0" fontId="4" fillId="20" borderId="1" xfId="0" applyNumberFormat="1" applyFont="1" applyFill="1" applyBorder="1" applyAlignment="1" applyProtection="1">
      <alignment vertical="center" wrapText="1"/>
    </xf>
    <xf numFmtId="43" fontId="4" fillId="20" borderId="1" xfId="1" applyFont="1" applyFill="1" applyBorder="1" applyAlignment="1" applyProtection="1">
      <alignment horizontal="center" vertical="center"/>
    </xf>
    <xf numFmtId="0" fontId="4" fillId="0" borderId="0" xfId="0" applyNumberFormat="1" applyFont="1" applyFill="1" applyBorder="1" applyAlignment="1" applyProtection="1"/>
    <xf numFmtId="0" fontId="7" fillId="23" borderId="28" xfId="0" applyNumberFormat="1" applyFont="1" applyFill="1" applyBorder="1" applyAlignment="1" applyProtection="1">
      <alignment vertical="center"/>
    </xf>
    <xf numFmtId="0" fontId="7" fillId="23" borderId="3" xfId="0" applyNumberFormat="1" applyFont="1" applyFill="1" applyBorder="1" applyAlignment="1" applyProtection="1">
      <alignment vertical="center"/>
    </xf>
    <xf numFmtId="0" fontId="7" fillId="23" borderId="0" xfId="0" applyNumberFormat="1" applyFont="1" applyFill="1" applyBorder="1" applyAlignment="1" applyProtection="1">
      <alignment vertical="center"/>
    </xf>
    <xf numFmtId="0" fontId="7" fillId="23" borderId="2" xfId="0" applyNumberFormat="1" applyFont="1" applyFill="1" applyBorder="1" applyAlignment="1" applyProtection="1">
      <alignment vertical="center"/>
    </xf>
    <xf numFmtId="0" fontId="7" fillId="23" borderId="2" xfId="0" applyNumberFormat="1" applyFont="1" applyFill="1" applyBorder="1" applyAlignment="1" applyProtection="1">
      <alignment horizontal="justify" vertical="center"/>
    </xf>
    <xf numFmtId="0" fontId="7" fillId="23" borderId="10" xfId="0" applyNumberFormat="1" applyFont="1" applyFill="1" applyBorder="1" applyAlignment="1" applyProtection="1">
      <alignment horizontal="justify" vertical="center"/>
    </xf>
    <xf numFmtId="0" fontId="7" fillId="23" borderId="10" xfId="0" applyNumberFormat="1" applyFont="1" applyFill="1" applyBorder="1" applyAlignment="1" applyProtection="1">
      <alignment horizontal="center" vertical="center"/>
    </xf>
    <xf numFmtId="43" fontId="7" fillId="23" borderId="10" xfId="1" applyFont="1" applyFill="1" applyBorder="1" applyAlignment="1" applyProtection="1">
      <alignment horizontal="center" vertical="center"/>
    </xf>
    <xf numFmtId="43" fontId="7" fillId="23" borderId="2" xfId="1" applyFont="1" applyFill="1" applyBorder="1" applyAlignment="1" applyProtection="1">
      <alignment horizontal="center" vertical="center"/>
    </xf>
    <xf numFmtId="3" fontId="7" fillId="23" borderId="2" xfId="0" applyNumberFormat="1" applyFont="1" applyFill="1" applyBorder="1" applyAlignment="1" applyProtection="1">
      <alignment horizontal="center" vertical="center"/>
    </xf>
    <xf numFmtId="1" fontId="7" fillId="23" borderId="2" xfId="0" applyNumberFormat="1" applyFont="1" applyFill="1" applyBorder="1" applyAlignment="1" applyProtection="1">
      <alignment horizontal="center" vertical="center"/>
    </xf>
    <xf numFmtId="0" fontId="8" fillId="23" borderId="2" xfId="0" applyNumberFormat="1" applyFont="1" applyFill="1" applyBorder="1" applyAlignment="1" applyProtection="1">
      <alignment horizontal="left" vertical="center"/>
    </xf>
    <xf numFmtId="0" fontId="7" fillId="23" borderId="10" xfId="0" applyNumberFormat="1" applyFont="1" applyFill="1" applyBorder="1" applyAlignment="1" applyProtection="1">
      <alignment vertical="center"/>
    </xf>
    <xf numFmtId="166" fontId="7" fillId="23" borderId="2" xfId="0" applyNumberFormat="1" applyFont="1" applyFill="1" applyBorder="1" applyAlignment="1" applyProtection="1">
      <alignment vertical="center"/>
    </xf>
    <xf numFmtId="0" fontId="8" fillId="23" borderId="3" xfId="0" applyNumberFormat="1" applyFont="1" applyFill="1" applyBorder="1" applyAlignment="1" applyProtection="1">
      <alignment vertical="center"/>
    </xf>
    <xf numFmtId="0" fontId="8" fillId="23" borderId="10" xfId="0" applyNumberFormat="1" applyFont="1" applyFill="1" applyBorder="1" applyAlignment="1" applyProtection="1">
      <alignment vertical="center"/>
    </xf>
    <xf numFmtId="0" fontId="8" fillId="23" borderId="15" xfId="0" applyNumberFormat="1" applyFont="1" applyFill="1" applyBorder="1" applyAlignment="1" applyProtection="1">
      <alignment vertical="center"/>
    </xf>
    <xf numFmtId="165" fontId="35" fillId="20" borderId="0" xfId="0" applyNumberFormat="1" applyFont="1" applyFill="1" applyBorder="1" applyAlignment="1" applyProtection="1">
      <alignment horizontal="center" vertical="center"/>
    </xf>
    <xf numFmtId="0" fontId="7" fillId="24" borderId="10" xfId="0" applyNumberFormat="1" applyFont="1" applyFill="1" applyBorder="1" applyAlignment="1" applyProtection="1">
      <alignment vertical="center"/>
    </xf>
    <xf numFmtId="0" fontId="7" fillId="24" borderId="2" xfId="0" applyNumberFormat="1" applyFont="1" applyFill="1" applyBorder="1" applyAlignment="1" applyProtection="1">
      <alignment horizontal="center" vertical="center"/>
    </xf>
    <xf numFmtId="0" fontId="7" fillId="24" borderId="2" xfId="0" applyNumberFormat="1" applyFont="1" applyFill="1" applyBorder="1" applyAlignment="1" applyProtection="1">
      <alignment horizontal="justify" vertical="center"/>
    </xf>
    <xf numFmtId="43" fontId="7" fillId="24" borderId="2" xfId="1" applyFont="1" applyFill="1" applyBorder="1" applyAlignment="1" applyProtection="1">
      <alignment horizontal="center" vertical="center"/>
    </xf>
    <xf numFmtId="3" fontId="7" fillId="24" borderId="2" xfId="0" applyNumberFormat="1" applyFont="1" applyFill="1" applyBorder="1" applyAlignment="1" applyProtection="1">
      <alignment horizontal="center" vertical="center"/>
    </xf>
    <xf numFmtId="1" fontId="7" fillId="24" borderId="2" xfId="0" applyNumberFormat="1" applyFont="1" applyFill="1" applyBorder="1" applyAlignment="1" applyProtection="1">
      <alignment horizontal="center" vertical="center"/>
    </xf>
    <xf numFmtId="0" fontId="8" fillId="24" borderId="2" xfId="0" applyNumberFormat="1" applyFont="1" applyFill="1" applyBorder="1" applyAlignment="1" applyProtection="1">
      <alignment horizontal="left" vertical="center"/>
    </xf>
    <xf numFmtId="0" fontId="7" fillId="24" borderId="2" xfId="0" applyNumberFormat="1" applyFont="1" applyFill="1" applyBorder="1" applyAlignment="1" applyProtection="1">
      <alignment vertical="center"/>
    </xf>
    <xf numFmtId="166" fontId="7" fillId="24" borderId="2" xfId="0" applyNumberFormat="1" applyFont="1" applyFill="1" applyBorder="1" applyAlignment="1" applyProtection="1">
      <alignment vertical="center"/>
    </xf>
    <xf numFmtId="0" fontId="8" fillId="24" borderId="3" xfId="0" applyNumberFormat="1" applyFont="1" applyFill="1" applyBorder="1" applyAlignment="1" applyProtection="1">
      <alignment vertical="center"/>
    </xf>
    <xf numFmtId="0" fontId="8" fillId="24" borderId="10" xfId="0" applyNumberFormat="1" applyFont="1" applyFill="1" applyBorder="1" applyAlignment="1" applyProtection="1">
      <alignment vertical="center"/>
    </xf>
    <xf numFmtId="0" fontId="8" fillId="24" borderId="15" xfId="0" applyNumberFormat="1" applyFont="1" applyFill="1" applyBorder="1" applyAlignment="1" applyProtection="1">
      <alignment vertical="center"/>
    </xf>
    <xf numFmtId="0" fontId="7" fillId="25" borderId="9" xfId="0" applyNumberFormat="1" applyFont="1" applyFill="1" applyBorder="1" applyAlignment="1" applyProtection="1">
      <alignment horizontal="left" vertical="center"/>
    </xf>
    <xf numFmtId="0" fontId="7" fillId="25" borderId="10" xfId="0" applyNumberFormat="1" applyFont="1" applyFill="1" applyBorder="1" applyAlignment="1" applyProtection="1">
      <alignment vertical="center"/>
    </xf>
    <xf numFmtId="0" fontId="7" fillId="25" borderId="10" xfId="0" applyNumberFormat="1" applyFont="1" applyFill="1" applyBorder="1" applyAlignment="1" applyProtection="1">
      <alignment horizontal="justify" vertical="center"/>
    </xf>
    <xf numFmtId="0" fontId="7" fillId="25" borderId="10" xfId="0" applyNumberFormat="1" applyFont="1" applyFill="1" applyBorder="1" applyAlignment="1" applyProtection="1">
      <alignment horizontal="center" vertical="center"/>
    </xf>
    <xf numFmtId="43" fontId="7" fillId="25" borderId="10" xfId="1" applyFont="1" applyFill="1" applyBorder="1" applyAlignment="1" applyProtection="1">
      <alignment horizontal="center" vertical="center"/>
    </xf>
    <xf numFmtId="0" fontId="7" fillId="25" borderId="3" xfId="0" applyNumberFormat="1" applyFont="1" applyFill="1" applyBorder="1" applyAlignment="1" applyProtection="1">
      <alignment horizontal="justify" vertical="center"/>
    </xf>
    <xf numFmtId="43" fontId="7" fillId="25" borderId="3" xfId="1" applyFont="1" applyFill="1" applyBorder="1" applyAlignment="1" applyProtection="1">
      <alignment horizontal="center" vertical="center"/>
    </xf>
    <xf numFmtId="3" fontId="7" fillId="25" borderId="3" xfId="0" applyNumberFormat="1" applyFont="1" applyFill="1" applyBorder="1" applyAlignment="1" applyProtection="1">
      <alignment horizontal="center" vertical="center"/>
    </xf>
    <xf numFmtId="1" fontId="7" fillId="25" borderId="3" xfId="0" applyNumberFormat="1" applyFont="1" applyFill="1" applyBorder="1" applyAlignment="1" applyProtection="1">
      <alignment horizontal="center" vertical="center"/>
    </xf>
    <xf numFmtId="0" fontId="8" fillId="25" borderId="10" xfId="0" applyNumberFormat="1" applyFont="1" applyFill="1" applyBorder="1" applyAlignment="1" applyProtection="1">
      <alignment horizontal="left" vertical="center"/>
    </xf>
    <xf numFmtId="166" fontId="7" fillId="25" borderId="10" xfId="0" applyNumberFormat="1" applyFont="1" applyFill="1" applyBorder="1" applyAlignment="1" applyProtection="1">
      <alignment vertical="center"/>
    </xf>
    <xf numFmtId="0" fontId="8" fillId="25" borderId="3" xfId="0" applyNumberFormat="1" applyFont="1" applyFill="1" applyBorder="1" applyAlignment="1" applyProtection="1">
      <alignment vertical="center"/>
    </xf>
    <xf numFmtId="0" fontId="8" fillId="25" borderId="10" xfId="0" applyNumberFormat="1" applyFont="1" applyFill="1" applyBorder="1" applyAlignment="1" applyProtection="1">
      <alignment vertical="center"/>
    </xf>
    <xf numFmtId="0" fontId="8" fillId="25" borderId="15" xfId="0" applyNumberFormat="1" applyFont="1" applyFill="1" applyBorder="1" applyAlignment="1" applyProtection="1">
      <alignment vertical="center"/>
    </xf>
    <xf numFmtId="0" fontId="8" fillId="0" borderId="8" xfId="0" applyNumberFormat="1" applyFont="1" applyFill="1" applyBorder="1" applyAlignment="1" applyProtection="1">
      <alignment horizontal="center" vertical="center" wrapText="1"/>
    </xf>
    <xf numFmtId="0" fontId="8" fillId="0" borderId="56" xfId="0" applyNumberFormat="1" applyFont="1" applyFill="1" applyBorder="1" applyAlignment="1" applyProtection="1">
      <alignment horizontal="justify" vertical="center" wrapText="1"/>
    </xf>
    <xf numFmtId="43" fontId="8" fillId="20" borderId="57" xfId="1" applyFont="1" applyFill="1" applyBorder="1" applyAlignment="1" applyProtection="1">
      <alignment horizontal="center" vertical="center" wrapText="1"/>
    </xf>
    <xf numFmtId="0" fontId="8" fillId="20" borderId="57" xfId="0" applyNumberFormat="1" applyFont="1" applyFill="1" applyBorder="1" applyAlignment="1" applyProtection="1">
      <alignment horizontal="center" vertical="center" wrapText="1"/>
    </xf>
    <xf numFmtId="171" fontId="16" fillId="20" borderId="1" xfId="0" applyNumberFormat="1" applyFont="1" applyFill="1" applyBorder="1" applyAlignment="1" applyProtection="1">
      <alignment horizontal="center" vertical="center" wrapText="1"/>
    </xf>
    <xf numFmtId="0" fontId="8" fillId="0" borderId="13" xfId="0" applyNumberFormat="1" applyFont="1" applyFill="1" applyBorder="1" applyAlignment="1" applyProtection="1">
      <alignment horizontal="center" vertical="center" wrapText="1"/>
    </xf>
    <xf numFmtId="0" fontId="8" fillId="0" borderId="30" xfId="0" applyNumberFormat="1" applyFont="1" applyFill="1" applyBorder="1" applyAlignment="1" applyProtection="1">
      <alignment horizontal="justify" vertical="center" wrapText="1"/>
    </xf>
    <xf numFmtId="43" fontId="8" fillId="20" borderId="9" xfId="1" applyFont="1" applyFill="1" applyBorder="1" applyAlignment="1" applyProtection="1">
      <alignment horizontal="center" vertical="center" wrapText="1"/>
    </xf>
    <xf numFmtId="165" fontId="45" fillId="0" borderId="0" xfId="0" applyNumberFormat="1" applyFont="1" applyFill="1" applyBorder="1" applyAlignment="1" applyProtection="1">
      <alignment horizontal="left" vertical="center"/>
    </xf>
    <xf numFmtId="43" fontId="8" fillId="20" borderId="7" xfId="1" applyFont="1" applyFill="1" applyBorder="1" applyAlignment="1" applyProtection="1">
      <alignment horizontal="center" vertical="center" wrapText="1"/>
    </xf>
    <xf numFmtId="0" fontId="8" fillId="0" borderId="59" xfId="0" applyNumberFormat="1" applyFont="1" applyFill="1" applyBorder="1" applyAlignment="1" applyProtection="1">
      <alignment horizontal="justify" vertical="center" wrapText="1"/>
    </xf>
    <xf numFmtId="43" fontId="8" fillId="20" borderId="60" xfId="1" applyFont="1" applyFill="1" applyBorder="1" applyAlignment="1" applyProtection="1">
      <alignment horizontal="center" vertical="center" wrapText="1"/>
    </xf>
    <xf numFmtId="0" fontId="35" fillId="20" borderId="0" xfId="0" applyNumberFormat="1" applyFont="1" applyFill="1" applyBorder="1" applyAlignment="1" applyProtection="1">
      <alignment horizontal="center"/>
    </xf>
    <xf numFmtId="43" fontId="8" fillId="20" borderId="4" xfId="1" applyFont="1" applyFill="1" applyBorder="1" applyAlignment="1" applyProtection="1">
      <alignment horizontal="center" vertical="center" wrapText="1"/>
    </xf>
    <xf numFmtId="0" fontId="8" fillId="20" borderId="9" xfId="0" applyNumberFormat="1" applyFont="1" applyFill="1" applyBorder="1" applyAlignment="1" applyProtection="1">
      <alignment horizontal="center" vertical="center" wrapText="1"/>
    </xf>
    <xf numFmtId="0" fontId="8" fillId="20" borderId="4"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justify" vertical="center" wrapText="1"/>
    </xf>
    <xf numFmtId="0" fontId="8" fillId="20" borderId="12" xfId="0" applyNumberFormat="1" applyFont="1" applyFill="1" applyBorder="1" applyAlignment="1" applyProtection="1">
      <alignment vertical="center" wrapText="1"/>
    </xf>
    <xf numFmtId="0" fontId="8" fillId="20" borderId="0" xfId="0" applyNumberFormat="1" applyFont="1" applyFill="1" applyBorder="1" applyAlignment="1" applyProtection="1">
      <alignment vertical="center" wrapText="1"/>
    </xf>
    <xf numFmtId="0" fontId="8" fillId="20" borderId="11" xfId="0" applyNumberFormat="1" applyFont="1" applyFill="1" applyBorder="1" applyAlignment="1" applyProtection="1">
      <alignment vertical="center" wrapText="1"/>
    </xf>
    <xf numFmtId="0" fontId="7" fillId="25" borderId="1" xfId="0" applyNumberFormat="1" applyFont="1" applyFill="1" applyBorder="1" applyAlignment="1" applyProtection="1">
      <alignment horizontal="left" vertical="center"/>
    </xf>
    <xf numFmtId="0" fontId="7" fillId="25" borderId="9" xfId="0" applyNumberFormat="1" applyFont="1" applyFill="1" applyBorder="1" applyAlignment="1" applyProtection="1">
      <alignment vertical="center"/>
    </xf>
    <xf numFmtId="43" fontId="7" fillId="25" borderId="10" xfId="1" applyFont="1" applyFill="1" applyBorder="1" applyAlignment="1" applyProtection="1">
      <alignment vertical="center"/>
    </xf>
    <xf numFmtId="0" fontId="7" fillId="25" borderId="3" xfId="0" applyNumberFormat="1" applyFont="1" applyFill="1" applyBorder="1" applyAlignment="1" applyProtection="1">
      <alignment vertical="center"/>
    </xf>
    <xf numFmtId="43" fontId="7" fillId="25" borderId="3" xfId="1" applyFont="1" applyFill="1" applyBorder="1" applyAlignment="1" applyProtection="1">
      <alignment vertical="center"/>
    </xf>
    <xf numFmtId="0" fontId="7" fillId="25" borderId="0" xfId="0" applyNumberFormat="1" applyFont="1" applyFill="1" applyBorder="1" applyAlignment="1" applyProtection="1">
      <alignment vertical="center"/>
    </xf>
    <xf numFmtId="0" fontId="7" fillId="25" borderId="2" xfId="0" applyNumberFormat="1" applyFont="1" applyFill="1" applyBorder="1" applyAlignment="1" applyProtection="1">
      <alignment vertical="center"/>
    </xf>
    <xf numFmtId="0" fontId="7" fillId="25" borderId="15" xfId="0" applyNumberFormat="1" applyFont="1" applyFill="1" applyBorder="1" applyAlignment="1" applyProtection="1">
      <alignment vertical="center"/>
    </xf>
    <xf numFmtId="0" fontId="8" fillId="20" borderId="1" xfId="0" applyNumberFormat="1" applyFont="1" applyFill="1" applyBorder="1" applyAlignment="1" applyProtection="1">
      <alignment horizontal="justify" vertical="center" wrapText="1"/>
    </xf>
    <xf numFmtId="43" fontId="8" fillId="20" borderId="1" xfId="1" applyFont="1" applyFill="1" applyBorder="1" applyAlignment="1" applyProtection="1">
      <alignment vertical="center" wrapText="1"/>
    </xf>
    <xf numFmtId="3" fontId="8" fillId="20" borderId="1" xfId="0" applyNumberFormat="1" applyFont="1" applyFill="1" applyBorder="1" applyAlignment="1" applyProtection="1">
      <alignment horizontal="center" vertical="center" wrapText="1"/>
    </xf>
    <xf numFmtId="0" fontId="8" fillId="0" borderId="12" xfId="0" applyNumberFormat="1" applyFont="1" applyFill="1" applyBorder="1" applyAlignment="1" applyProtection="1">
      <alignment vertical="center" wrapText="1"/>
    </xf>
    <xf numFmtId="0" fontId="8" fillId="0" borderId="0" xfId="0" applyNumberFormat="1" applyFont="1" applyFill="1" applyBorder="1" applyAlignment="1" applyProtection="1">
      <alignment vertical="center" wrapText="1"/>
    </xf>
    <xf numFmtId="0" fontId="8" fillId="0" borderId="11" xfId="0" applyNumberFormat="1" applyFont="1" applyFill="1" applyBorder="1" applyAlignment="1" applyProtection="1">
      <alignment vertical="center" wrapText="1"/>
    </xf>
    <xf numFmtId="43" fontId="8" fillId="0" borderId="1" xfId="1" applyFont="1" applyFill="1" applyBorder="1" applyAlignment="1" applyProtection="1">
      <alignment vertical="center" wrapText="1"/>
    </xf>
    <xf numFmtId="0" fontId="8" fillId="0" borderId="1" xfId="0" applyNumberFormat="1" applyFont="1" applyFill="1" applyBorder="1" applyAlignment="1" applyProtection="1">
      <alignment horizontal="center" vertical="center" wrapText="1"/>
    </xf>
    <xf numFmtId="3" fontId="8" fillId="0" borderId="1" xfId="0" applyNumberFormat="1" applyFont="1" applyFill="1" applyBorder="1" applyAlignment="1" applyProtection="1">
      <alignment horizontal="center" vertical="center" wrapText="1"/>
    </xf>
    <xf numFmtId="165" fontId="35" fillId="0" borderId="0" xfId="0" applyNumberFormat="1" applyFont="1" applyFill="1" applyBorder="1" applyAlignment="1" applyProtection="1">
      <alignment horizontal="center" vertical="center"/>
    </xf>
    <xf numFmtId="49" fontId="8" fillId="0" borderId="1" xfId="0" applyNumberFormat="1" applyFont="1" applyFill="1" applyBorder="1" applyAlignment="1" applyProtection="1">
      <alignment horizontal="center" vertical="center" wrapText="1"/>
    </xf>
    <xf numFmtId="3" fontId="16" fillId="0" borderId="1" xfId="0" applyNumberFormat="1" applyFont="1" applyFill="1" applyBorder="1" applyAlignment="1" applyProtection="1">
      <alignment horizontal="center" vertical="center" wrapText="1"/>
    </xf>
    <xf numFmtId="43" fontId="8" fillId="0" borderId="1" xfId="1" applyFont="1" applyFill="1" applyBorder="1" applyAlignment="1" applyProtection="1">
      <alignment horizontal="center" vertical="center" wrapText="1"/>
    </xf>
    <xf numFmtId="0" fontId="7" fillId="20" borderId="1" xfId="0" applyNumberFormat="1" applyFont="1" applyFill="1" applyBorder="1" applyAlignment="1" applyProtection="1">
      <alignment horizontal="center" vertical="center"/>
    </xf>
    <xf numFmtId="0" fontId="8" fillId="0" borderId="8" xfId="0" applyNumberFormat="1" applyFont="1" applyFill="1" applyBorder="1" applyAlignment="1" applyProtection="1">
      <alignment horizontal="justify" vertical="center" wrapText="1"/>
    </xf>
    <xf numFmtId="10" fontId="8" fillId="20" borderId="8" xfId="0" applyNumberFormat="1" applyFont="1" applyFill="1" applyBorder="1" applyAlignment="1" applyProtection="1">
      <alignment horizontal="center" vertical="center" wrapText="1"/>
    </xf>
    <xf numFmtId="0" fontId="8" fillId="20" borderId="8" xfId="0" applyNumberFormat="1" applyFont="1" applyFill="1" applyBorder="1" applyAlignment="1" applyProtection="1">
      <alignment horizontal="justify" vertical="center" wrapText="1"/>
    </xf>
    <xf numFmtId="0" fontId="8" fillId="20" borderId="8" xfId="0" applyNumberFormat="1" applyFont="1" applyFill="1" applyBorder="1" applyAlignment="1" applyProtection="1">
      <alignment horizontal="center" vertical="center" wrapText="1"/>
    </xf>
    <xf numFmtId="43" fontId="8" fillId="20" borderId="1" xfId="1" applyFont="1" applyFill="1" applyBorder="1" applyAlignment="1" applyProtection="1">
      <alignment horizontal="center" vertical="center" wrapText="1"/>
    </xf>
    <xf numFmtId="0" fontId="8" fillId="20" borderId="1" xfId="0" applyNumberFormat="1" applyFont="1" applyFill="1" applyBorder="1" applyAlignment="1" applyProtection="1">
      <alignment horizontal="center" vertical="center" wrapText="1"/>
    </xf>
    <xf numFmtId="1" fontId="7" fillId="20" borderId="8" xfId="0" applyNumberFormat="1" applyFont="1" applyFill="1" applyBorder="1" applyAlignment="1" applyProtection="1">
      <alignment horizontal="center" vertical="center" wrapText="1"/>
    </xf>
    <xf numFmtId="0" fontId="8" fillId="20" borderId="3"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vertical="center" wrapText="1"/>
    </xf>
    <xf numFmtId="10" fontId="8" fillId="20" borderId="3"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justify" vertical="center" wrapText="1"/>
    </xf>
    <xf numFmtId="0" fontId="4" fillId="0" borderId="9" xfId="0" applyNumberFormat="1" applyFont="1" applyFill="1" applyBorder="1" applyAlignment="1" applyProtection="1">
      <alignment horizontal="justify" vertical="center" wrapText="1"/>
    </xf>
    <xf numFmtId="0" fontId="4" fillId="0" borderId="1" xfId="0" applyNumberFormat="1" applyFont="1" applyFill="1" applyBorder="1" applyAlignment="1" applyProtection="1">
      <alignment horizontal="center" vertical="center" wrapText="1"/>
    </xf>
    <xf numFmtId="3" fontId="8" fillId="0" borderId="15" xfId="0" applyNumberFormat="1" applyFont="1" applyFill="1" applyBorder="1" applyAlignment="1" applyProtection="1">
      <alignment horizontal="center" vertical="center" wrapText="1"/>
    </xf>
    <xf numFmtId="1" fontId="8" fillId="0" borderId="1" xfId="0" applyNumberFormat="1" applyFont="1" applyFill="1" applyBorder="1" applyAlignment="1" applyProtection="1">
      <alignment horizontal="center" vertical="center" wrapText="1"/>
    </xf>
    <xf numFmtId="182" fontId="8" fillId="0" borderId="1" xfId="0" applyNumberFormat="1" applyFont="1" applyFill="1" applyBorder="1" applyAlignment="1" applyProtection="1">
      <alignment horizontal="center" vertical="center" wrapText="1"/>
    </xf>
    <xf numFmtId="0" fontId="8" fillId="0" borderId="10" xfId="0" applyNumberFormat="1" applyFont="1" applyFill="1" applyBorder="1" applyAlignment="1" applyProtection="1">
      <alignment horizontal="center" vertical="center" wrapText="1"/>
    </xf>
    <xf numFmtId="1" fontId="7" fillId="20" borderId="10" xfId="0" applyNumberFormat="1" applyFont="1" applyFill="1" applyBorder="1" applyAlignment="1" applyProtection="1">
      <alignment vertical="center" wrapText="1"/>
    </xf>
    <xf numFmtId="0" fontId="8" fillId="20" borderId="10" xfId="0" applyNumberFormat="1" applyFont="1" applyFill="1" applyBorder="1" applyAlignment="1" applyProtection="1">
      <alignment vertical="center" wrapText="1"/>
    </xf>
    <xf numFmtId="0" fontId="7" fillId="0" borderId="10" xfId="0" applyNumberFormat="1" applyFont="1" applyFill="1" applyBorder="1" applyAlignment="1" applyProtection="1">
      <alignment horizontal="center" vertical="center"/>
    </xf>
    <xf numFmtId="0" fontId="7" fillId="0" borderId="10" xfId="0" applyNumberFormat="1" applyFont="1" applyFill="1" applyBorder="1" applyAlignment="1" applyProtection="1">
      <alignment horizontal="justify" vertical="center"/>
    </xf>
    <xf numFmtId="0" fontId="6" fillId="0" borderId="10" xfId="0" applyNumberFormat="1" applyFont="1" applyFill="1" applyBorder="1" applyAlignment="1" applyProtection="1">
      <alignment vertical="center" wrapText="1"/>
    </xf>
    <xf numFmtId="44" fontId="7" fillId="0" borderId="14" xfId="0" applyNumberFormat="1" applyFont="1" applyFill="1" applyBorder="1" applyAlignment="1" applyProtection="1">
      <alignment horizontal="center" vertical="center"/>
    </xf>
    <xf numFmtId="43" fontId="7" fillId="0" borderId="14" xfId="1" applyFont="1" applyFill="1" applyBorder="1" applyAlignment="1" applyProtection="1">
      <alignment horizontal="center" vertical="center"/>
    </xf>
    <xf numFmtId="0" fontId="6" fillId="0" borderId="9" xfId="0" applyNumberFormat="1" applyFont="1" applyFill="1" applyBorder="1" applyAlignment="1" applyProtection="1">
      <alignment vertical="center" wrapText="1"/>
    </xf>
    <xf numFmtId="0" fontId="6" fillId="0" borderId="1" xfId="0" applyNumberFormat="1" applyFont="1" applyFill="1" applyBorder="1" applyAlignment="1" applyProtection="1">
      <alignment vertical="center" wrapText="1"/>
    </xf>
    <xf numFmtId="43" fontId="7" fillId="0" borderId="1" xfId="1" applyFont="1" applyFill="1" applyBorder="1" applyAlignment="1" applyProtection="1">
      <alignment horizontal="center" vertical="center"/>
    </xf>
    <xf numFmtId="171" fontId="7" fillId="0" borderId="1" xfId="0" applyNumberFormat="1" applyFont="1" applyFill="1" applyBorder="1" applyAlignment="1" applyProtection="1">
      <alignment horizontal="center" vertical="center"/>
    </xf>
    <xf numFmtId="0" fontId="7" fillId="0" borderId="1" xfId="0" applyNumberFormat="1" applyFont="1" applyFill="1" applyBorder="1" applyAlignment="1" applyProtection="1">
      <alignment horizontal="center" vertical="center"/>
    </xf>
    <xf numFmtId="171" fontId="7" fillId="0" borderId="2"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vertical="center"/>
    </xf>
    <xf numFmtId="0" fontId="8" fillId="0" borderId="2" xfId="0" applyNumberFormat="1" applyFont="1" applyFill="1" applyBorder="1" applyAlignment="1" applyProtection="1">
      <alignment horizontal="center" vertical="center"/>
    </xf>
    <xf numFmtId="0" fontId="8" fillId="0" borderId="5" xfId="0" applyNumberFormat="1" applyFont="1" applyFill="1" applyBorder="1" applyAlignment="1" applyProtection="1">
      <alignment horizontal="center" vertical="center"/>
    </xf>
    <xf numFmtId="1" fontId="35" fillId="0" borderId="0" xfId="0" applyNumberFormat="1" applyFont="1" applyFill="1" applyBorder="1" applyAlignment="1" applyProtection="1"/>
    <xf numFmtId="0" fontId="35" fillId="20" borderId="0" xfId="0" applyNumberFormat="1" applyFont="1" applyFill="1" applyBorder="1" applyAlignment="1" applyProtection="1">
      <alignment horizontal="justify" vertical="center"/>
    </xf>
    <xf numFmtId="0" fontId="6" fillId="0" borderId="0" xfId="0" applyNumberFormat="1" applyFont="1" applyFill="1" applyBorder="1" applyAlignment="1" applyProtection="1">
      <alignment vertical="center" wrapText="1"/>
    </xf>
    <xf numFmtId="169" fontId="35" fillId="20" borderId="0" xfId="0" applyNumberFormat="1" applyFont="1" applyFill="1" applyBorder="1" applyAlignment="1" applyProtection="1">
      <alignment horizontal="center" vertical="center"/>
    </xf>
    <xf numFmtId="165" fontId="35" fillId="20" borderId="0" xfId="0" applyNumberFormat="1" applyFont="1" applyFill="1" applyBorder="1" applyAlignment="1" applyProtection="1">
      <alignment vertical="center"/>
    </xf>
    <xf numFmtId="44" fontId="35" fillId="20" borderId="0" xfId="0" applyNumberFormat="1" applyFont="1" applyFill="1" applyBorder="1" applyAlignment="1" applyProtection="1">
      <alignment horizontal="center" vertical="center"/>
    </xf>
    <xf numFmtId="1" fontId="35" fillId="20" borderId="0" xfId="0" applyNumberFormat="1" applyFont="1" applyFill="1" applyBorder="1" applyAlignment="1" applyProtection="1">
      <alignment horizontal="center" vertical="center"/>
    </xf>
    <xf numFmtId="0" fontId="35" fillId="20" borderId="0" xfId="0" applyNumberFormat="1" applyFont="1" applyFill="1" applyBorder="1" applyAlignment="1" applyProtection="1">
      <alignment horizontal="center" vertical="center"/>
    </xf>
    <xf numFmtId="166" fontId="35" fillId="0" borderId="0" xfId="0" applyNumberFormat="1" applyFont="1" applyFill="1" applyBorder="1" applyAlignment="1" applyProtection="1">
      <alignment horizontal="right" vertical="center"/>
    </xf>
    <xf numFmtId="166" fontId="35" fillId="0" borderId="0" xfId="0" applyNumberFormat="1" applyFont="1" applyFill="1" applyBorder="1" applyAlignment="1" applyProtection="1">
      <alignment horizontal="center"/>
    </xf>
    <xf numFmtId="0" fontId="35" fillId="0" borderId="0" xfId="0" applyNumberFormat="1" applyFont="1" applyFill="1" applyBorder="1" applyAlignment="1" applyProtection="1">
      <alignment horizontal="justify" vertical="center"/>
    </xf>
    <xf numFmtId="0" fontId="14" fillId="0" borderId="0" xfId="0" applyNumberFormat="1" applyFont="1" applyFill="1" applyBorder="1" applyAlignment="1" applyProtection="1"/>
    <xf numFmtId="0" fontId="23" fillId="0" borderId="23" xfId="0" applyFont="1" applyBorder="1" applyAlignment="1">
      <alignment vertical="center"/>
    </xf>
    <xf numFmtId="0" fontId="23" fillId="0" borderId="27" xfId="0" applyFont="1" applyBorder="1" applyAlignment="1">
      <alignment horizontal="justify" vertical="center" wrapText="1"/>
    </xf>
    <xf numFmtId="0" fontId="20" fillId="7" borderId="0" xfId="0" applyFont="1" applyFill="1"/>
    <xf numFmtId="0" fontId="20" fillId="0" borderId="0" xfId="0" applyFont="1"/>
    <xf numFmtId="0" fontId="23" fillId="0" borderId="1" xfId="0" applyFont="1" applyBorder="1" applyAlignment="1">
      <alignment horizontal="left" vertical="center"/>
    </xf>
    <xf numFmtId="0" fontId="23" fillId="0" borderId="17" xfId="0" applyFont="1" applyBorder="1" applyAlignment="1">
      <alignment horizontal="justify" vertical="center" wrapText="1"/>
    </xf>
    <xf numFmtId="3" fontId="23" fillId="0" borderId="17" xfId="0" applyNumberFormat="1" applyFont="1" applyBorder="1" applyAlignment="1">
      <alignment horizontal="justify" vertical="center" wrapText="1"/>
    </xf>
    <xf numFmtId="0" fontId="20" fillId="0" borderId="4" xfId="0" applyFont="1" applyBorder="1" applyAlignment="1">
      <alignment horizontal="center" vertical="center"/>
    </xf>
    <xf numFmtId="0" fontId="20" fillId="0" borderId="2" xfId="0" applyFont="1" applyBorder="1" applyAlignment="1">
      <alignment vertical="center"/>
    </xf>
    <xf numFmtId="0" fontId="30" fillId="0" borderId="2" xfId="0" applyFont="1" applyBorder="1" applyAlignment="1">
      <alignment horizontal="justify" vertical="center"/>
    </xf>
    <xf numFmtId="10" fontId="30" fillId="0" borderId="2" xfId="4" applyNumberFormat="1" applyFont="1" applyBorder="1" applyAlignment="1">
      <alignment vertical="center"/>
    </xf>
    <xf numFmtId="0" fontId="30" fillId="0" borderId="2" xfId="0" applyFont="1" applyBorder="1" applyAlignment="1">
      <alignment horizontal="center" vertical="center"/>
    </xf>
    <xf numFmtId="0" fontId="30" fillId="0" borderId="2" xfId="0" applyFont="1" applyBorder="1" applyAlignment="1">
      <alignment horizontal="justify" vertical="center" wrapText="1"/>
    </xf>
    <xf numFmtId="41" fontId="30" fillId="0" borderId="2" xfId="0" applyNumberFormat="1" applyFont="1" applyBorder="1" applyAlignment="1">
      <alignment vertical="center"/>
    </xf>
    <xf numFmtId="0" fontId="30" fillId="0" borderId="2" xfId="0" applyFont="1" applyBorder="1" applyAlignment="1">
      <alignment vertical="center"/>
    </xf>
    <xf numFmtId="0" fontId="30" fillId="0" borderId="42" xfId="0" applyFont="1" applyBorder="1" applyAlignment="1">
      <alignment horizontal="justify" vertical="center" wrapText="1"/>
    </xf>
    <xf numFmtId="0" fontId="30" fillId="0" borderId="29" xfId="0" applyFont="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0" fontId="30" fillId="0" borderId="0" xfId="0" applyFont="1" applyAlignment="1">
      <alignment vertical="center"/>
    </xf>
    <xf numFmtId="0" fontId="30" fillId="7" borderId="0" xfId="0" applyFont="1" applyFill="1"/>
    <xf numFmtId="0" fontId="30" fillId="0" borderId="0" xfId="0" applyFont="1"/>
    <xf numFmtId="1" fontId="12" fillId="10" borderId="9" xfId="0" applyNumberFormat="1" applyFont="1" applyFill="1" applyBorder="1" applyAlignment="1">
      <alignment horizontal="left" vertical="center" wrapText="1"/>
    </xf>
    <xf numFmtId="0" fontId="12" fillId="10" borderId="3" xfId="0" applyFont="1" applyFill="1" applyBorder="1" applyAlignment="1">
      <alignment horizontal="justify" vertical="center" wrapText="1"/>
    </xf>
    <xf numFmtId="0" fontId="12" fillId="10" borderId="3" xfId="0" applyFont="1" applyFill="1" applyBorder="1" applyAlignment="1">
      <alignment horizontal="justify" vertical="center"/>
    </xf>
    <xf numFmtId="10" fontId="13" fillId="10" borderId="3" xfId="4" applyNumberFormat="1" applyFont="1" applyFill="1" applyBorder="1" applyAlignment="1">
      <alignment horizontal="center" vertical="center"/>
    </xf>
    <xf numFmtId="165" fontId="12" fillId="10" borderId="3" xfId="0" applyNumberFormat="1" applyFont="1" applyFill="1" applyBorder="1" applyAlignment="1">
      <alignment horizontal="center" vertical="center"/>
    </xf>
    <xf numFmtId="0" fontId="12" fillId="10" borderId="3" xfId="0" applyFont="1" applyFill="1" applyBorder="1" applyAlignment="1">
      <alignment horizontal="center" vertical="center"/>
    </xf>
    <xf numFmtId="166" fontId="12" fillId="10" borderId="3" xfId="0" applyNumberFormat="1" applyFont="1" applyFill="1" applyBorder="1" applyAlignment="1">
      <alignment vertical="center"/>
    </xf>
    <xf numFmtId="0" fontId="12" fillId="10" borderId="6" xfId="0" applyFont="1" applyFill="1" applyBorder="1" applyAlignment="1">
      <alignment horizontal="justify" vertical="center"/>
    </xf>
    <xf numFmtId="0" fontId="13" fillId="7" borderId="0" xfId="0" applyFont="1" applyFill="1" applyBorder="1"/>
    <xf numFmtId="0" fontId="13" fillId="0" borderId="0" xfId="0" applyFont="1" applyBorder="1"/>
    <xf numFmtId="0" fontId="12" fillId="11" borderId="10" xfId="0" applyFont="1" applyFill="1" applyBorder="1" applyAlignment="1">
      <alignment vertical="center"/>
    </xf>
    <xf numFmtId="0" fontId="12" fillId="11" borderId="3" xfId="0" applyFont="1" applyFill="1" applyBorder="1" applyAlignment="1">
      <alignment vertical="center"/>
    </xf>
    <xf numFmtId="0" fontId="13" fillId="11" borderId="3" xfId="0" applyFont="1" applyFill="1" applyBorder="1" applyAlignment="1">
      <alignment vertical="center"/>
    </xf>
    <xf numFmtId="0" fontId="12" fillId="11" borderId="3" xfId="0" applyFont="1" applyFill="1" applyBorder="1" applyAlignment="1">
      <alignment horizontal="justify" vertical="center" wrapText="1"/>
    </xf>
    <xf numFmtId="0" fontId="12" fillId="11" borderId="3" xfId="0" applyFont="1" applyFill="1" applyBorder="1" applyAlignment="1">
      <alignment horizontal="justify" vertical="center"/>
    </xf>
    <xf numFmtId="0" fontId="13" fillId="11" borderId="3" xfId="0" applyFont="1" applyFill="1" applyBorder="1" applyAlignment="1">
      <alignment horizontal="center" vertical="center"/>
    </xf>
    <xf numFmtId="10" fontId="13" fillId="11" borderId="3" xfId="4" applyNumberFormat="1" applyFont="1" applyFill="1" applyBorder="1" applyAlignment="1">
      <alignment horizontal="center" vertical="center"/>
    </xf>
    <xf numFmtId="165" fontId="12" fillId="11" borderId="3" xfId="0" applyNumberFormat="1" applyFont="1" applyFill="1" applyBorder="1" applyAlignment="1">
      <alignment horizontal="center" vertical="center"/>
    </xf>
    <xf numFmtId="0" fontId="12" fillId="11" borderId="3" xfId="0" applyFont="1" applyFill="1" applyBorder="1" applyAlignment="1">
      <alignment horizontal="center" vertical="center"/>
    </xf>
    <xf numFmtId="166" fontId="12" fillId="11" borderId="3" xfId="0" applyNumberFormat="1" applyFont="1" applyFill="1" applyBorder="1" applyAlignment="1">
      <alignment vertical="center"/>
    </xf>
    <xf numFmtId="0" fontId="12" fillId="11" borderId="6" xfId="0" applyFont="1" applyFill="1" applyBorder="1" applyAlignment="1">
      <alignment horizontal="justify" vertical="center"/>
    </xf>
    <xf numFmtId="1" fontId="12" fillId="12" borderId="10" xfId="0" applyNumberFormat="1" applyFont="1" applyFill="1" applyBorder="1" applyAlignment="1">
      <alignment horizontal="left" vertical="center" wrapText="1" indent="1"/>
    </xf>
    <xf numFmtId="0" fontId="13" fillId="12" borderId="3" xfId="0" applyFont="1" applyFill="1" applyBorder="1" applyAlignment="1">
      <alignment vertical="center"/>
    </xf>
    <xf numFmtId="0" fontId="12" fillId="12" borderId="3" xfId="0" applyFont="1" applyFill="1" applyBorder="1" applyAlignment="1">
      <alignment horizontal="justify" vertical="center" wrapText="1"/>
    </xf>
    <xf numFmtId="0" fontId="12" fillId="12" borderId="3" xfId="0" applyFont="1" applyFill="1" applyBorder="1" applyAlignment="1">
      <alignment horizontal="justify" vertical="center"/>
    </xf>
    <xf numFmtId="10" fontId="13" fillId="12" borderId="3" xfId="4" applyNumberFormat="1" applyFont="1" applyFill="1" applyBorder="1" applyAlignment="1">
      <alignment horizontal="center" vertical="center"/>
    </xf>
    <xf numFmtId="165" fontId="12" fillId="12" borderId="3" xfId="0" applyNumberFormat="1" applyFont="1" applyFill="1" applyBorder="1" applyAlignment="1">
      <alignment horizontal="center" vertical="center"/>
    </xf>
    <xf numFmtId="0" fontId="12" fillId="12" borderId="3" xfId="0" applyFont="1" applyFill="1" applyBorder="1" applyAlignment="1">
      <alignment horizontal="center" vertical="center"/>
    </xf>
    <xf numFmtId="166" fontId="12" fillId="12" borderId="3" xfId="0" applyNumberFormat="1" applyFont="1" applyFill="1" applyBorder="1" applyAlignment="1">
      <alignment vertical="center"/>
    </xf>
    <xf numFmtId="0" fontId="12" fillId="12" borderId="6" xfId="0" applyFont="1" applyFill="1" applyBorder="1" applyAlignment="1">
      <alignment horizontal="justify" vertical="center"/>
    </xf>
    <xf numFmtId="0" fontId="13" fillId="7" borderId="7" xfId="0" applyFont="1" applyFill="1" applyBorder="1"/>
    <xf numFmtId="0" fontId="13" fillId="7" borderId="6" xfId="0" applyFont="1" applyFill="1" applyBorder="1"/>
    <xf numFmtId="43" fontId="13" fillId="7" borderId="8" xfId="1" applyFont="1" applyFill="1" applyBorder="1" applyAlignment="1">
      <alignment horizontal="center" vertical="center" wrapText="1"/>
    </xf>
    <xf numFmtId="3" fontId="13" fillId="0" borderId="1" xfId="23" applyNumberFormat="1" applyFont="1" applyFill="1" applyBorder="1" applyAlignment="1">
      <alignment horizontal="center" vertical="center" wrapText="1"/>
    </xf>
    <xf numFmtId="3" fontId="13" fillId="7" borderId="1" xfId="23" applyNumberFormat="1" applyFont="1" applyFill="1" applyBorder="1" applyAlignment="1">
      <alignment horizontal="justify" vertical="center" wrapText="1"/>
    </xf>
    <xf numFmtId="14" fontId="13" fillId="0" borderId="1" xfId="0" applyNumberFormat="1" applyFont="1" applyBorder="1" applyAlignment="1">
      <alignment vertical="center"/>
    </xf>
    <xf numFmtId="14" fontId="13" fillId="0" borderId="1" xfId="0" applyNumberFormat="1" applyFont="1" applyBorder="1" applyAlignment="1">
      <alignment horizontal="center" vertical="center"/>
    </xf>
    <xf numFmtId="0" fontId="13" fillId="7" borderId="12" xfId="0" applyFont="1" applyFill="1" applyBorder="1"/>
    <xf numFmtId="0" fontId="13" fillId="7" borderId="11" xfId="0" applyFont="1" applyFill="1" applyBorder="1"/>
    <xf numFmtId="3" fontId="13" fillId="7" borderId="1" xfId="23" applyNumberFormat="1" applyFont="1" applyFill="1" applyBorder="1" applyAlignment="1">
      <alignment horizontal="center" vertical="center" wrapText="1"/>
    </xf>
    <xf numFmtId="183" fontId="13" fillId="7" borderId="1" xfId="23" applyFont="1" applyFill="1" applyBorder="1" applyAlignment="1">
      <alignment horizontal="justify" vertical="center" wrapText="1"/>
    </xf>
    <xf numFmtId="183" fontId="13" fillId="0" borderId="1" xfId="23" applyFont="1" applyFill="1" applyBorder="1" applyAlignment="1">
      <alignment horizontal="justify" vertical="center" wrapText="1"/>
    </xf>
    <xf numFmtId="3" fontId="13" fillId="7" borderId="1" xfId="23" applyNumberFormat="1" applyFont="1" applyFill="1" applyBorder="1" applyAlignment="1">
      <alignment horizontal="center" vertical="center"/>
    </xf>
    <xf numFmtId="10" fontId="16" fillId="7" borderId="1" xfId="4" applyNumberFormat="1" applyFont="1" applyFill="1" applyBorder="1" applyAlignment="1">
      <alignment horizontal="center" vertical="center" wrapText="1"/>
    </xf>
    <xf numFmtId="183" fontId="18" fillId="7" borderId="1" xfId="23" applyFont="1" applyFill="1" applyBorder="1" applyAlignment="1">
      <alignment horizontal="justify" vertical="center" wrapText="1"/>
    </xf>
    <xf numFmtId="0" fontId="13" fillId="7" borderId="0" xfId="0" applyFont="1" applyFill="1" applyBorder="1" applyAlignment="1">
      <alignment horizontal="center" vertical="center" wrapText="1"/>
    </xf>
    <xf numFmtId="0" fontId="13" fillId="0" borderId="1" xfId="0" applyFont="1" applyBorder="1" applyAlignment="1">
      <alignment horizontal="center" vertical="top" wrapText="1"/>
    </xf>
    <xf numFmtId="14" fontId="13" fillId="0" borderId="1" xfId="0" applyNumberFormat="1" applyFont="1" applyBorder="1" applyAlignment="1">
      <alignment horizontal="right" vertical="center"/>
    </xf>
    <xf numFmtId="183" fontId="13" fillId="7" borderId="11" xfId="23"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12" fillId="0" borderId="0" xfId="0" applyFont="1" applyFill="1" applyBorder="1" applyAlignment="1">
      <alignment vertical="center"/>
    </xf>
    <xf numFmtId="0" fontId="12" fillId="0" borderId="11" xfId="0" applyFont="1" applyFill="1" applyBorder="1" applyAlignment="1">
      <alignment vertical="center"/>
    </xf>
    <xf numFmtId="43" fontId="13" fillId="7" borderId="1" xfId="1" applyFont="1" applyFill="1" applyBorder="1" applyAlignment="1">
      <alignment horizontal="center" vertical="center"/>
    </xf>
    <xf numFmtId="0" fontId="46" fillId="7" borderId="0" xfId="0" applyFont="1" applyFill="1"/>
    <xf numFmtId="3" fontId="13" fillId="0" borderId="14" xfId="23" applyNumberFormat="1" applyFont="1" applyFill="1" applyBorder="1" applyAlignment="1">
      <alignment horizontal="center" vertical="center" wrapText="1"/>
    </xf>
    <xf numFmtId="0" fontId="13" fillId="7" borderId="4" xfId="0" applyFont="1" applyFill="1" applyBorder="1"/>
    <xf numFmtId="0" fontId="13" fillId="7" borderId="5" xfId="0" applyFont="1" applyFill="1" applyBorder="1"/>
    <xf numFmtId="3" fontId="13" fillId="7" borderId="14" xfId="23" applyNumberFormat="1" applyFont="1" applyFill="1" applyBorder="1" applyAlignment="1">
      <alignment horizontal="center" vertical="center" wrapText="1"/>
    </xf>
    <xf numFmtId="0" fontId="13" fillId="12" borderId="0" xfId="0" applyFont="1" applyFill="1" applyBorder="1" applyAlignment="1">
      <alignment vertical="center"/>
    </xf>
    <xf numFmtId="0" fontId="12" fillId="12" borderId="0" xfId="0" applyFont="1" applyFill="1" applyBorder="1" applyAlignment="1">
      <alignment horizontal="justify" vertical="center" wrapText="1"/>
    </xf>
    <xf numFmtId="0" fontId="12" fillId="12" borderId="0" xfId="0" applyFont="1" applyFill="1" applyBorder="1" applyAlignment="1">
      <alignment horizontal="justify" vertical="center"/>
    </xf>
    <xf numFmtId="0" fontId="12" fillId="12" borderId="0" xfId="0" applyFont="1" applyFill="1" applyBorder="1" applyAlignment="1">
      <alignment vertical="center"/>
    </xf>
    <xf numFmtId="0" fontId="13" fillId="12" borderId="0" xfId="4" applyNumberFormat="1" applyFont="1" applyFill="1" applyBorder="1" applyAlignment="1">
      <alignment horizontal="center" vertical="center"/>
    </xf>
    <xf numFmtId="43" fontId="12" fillId="12" borderId="0" xfId="1" applyFont="1" applyFill="1" applyBorder="1" applyAlignment="1">
      <alignment horizontal="center" vertical="center"/>
    </xf>
    <xf numFmtId="165" fontId="12" fillId="12" borderId="0" xfId="0" applyNumberFormat="1" applyFont="1" applyFill="1" applyBorder="1" applyAlignment="1">
      <alignment horizontal="center" vertical="center"/>
    </xf>
    <xf numFmtId="166" fontId="12" fillId="12" borderId="10" xfId="0" applyNumberFormat="1" applyFont="1" applyFill="1" applyBorder="1" applyAlignment="1">
      <alignment horizontal="justify" vertical="center"/>
    </xf>
    <xf numFmtId="0" fontId="0" fillId="0" borderId="8" xfId="0" applyFont="1" applyBorder="1" applyAlignment="1">
      <alignment horizontal="center" vertical="center" wrapText="1"/>
    </xf>
    <xf numFmtId="183" fontId="13" fillId="7" borderId="8" xfId="23" applyFont="1" applyFill="1" applyBorder="1" applyAlignment="1">
      <alignment horizontal="center" vertical="top" wrapText="1"/>
    </xf>
    <xf numFmtId="166" fontId="13" fillId="0" borderId="1" xfId="0" applyNumberFormat="1" applyFont="1" applyFill="1" applyBorder="1" applyAlignment="1">
      <alignment vertical="center"/>
    </xf>
    <xf numFmtId="0" fontId="0" fillId="0" borderId="1" xfId="0" applyFont="1" applyBorder="1" applyAlignment="1">
      <alignment horizontal="center" vertical="center" wrapText="1"/>
    </xf>
    <xf numFmtId="183" fontId="13" fillId="7" borderId="1" xfId="23" applyFont="1" applyFill="1" applyBorder="1" applyAlignment="1">
      <alignment horizontal="center" vertical="top" wrapText="1"/>
    </xf>
    <xf numFmtId="183" fontId="13" fillId="7" borderId="1" xfId="23" applyFont="1" applyFill="1" applyBorder="1" applyAlignment="1">
      <alignment horizontal="center" vertical="center" wrapText="1"/>
    </xf>
    <xf numFmtId="0" fontId="18" fillId="7" borderId="1" xfId="0" applyFont="1" applyFill="1" applyBorder="1" applyAlignment="1">
      <alignment horizontal="left" vertical="center" wrapText="1"/>
    </xf>
    <xf numFmtId="0" fontId="0" fillId="0" borderId="8" xfId="0" applyFont="1" applyBorder="1" applyAlignment="1">
      <alignment horizontal="center" vertical="top" wrapText="1"/>
    </xf>
    <xf numFmtId="183" fontId="18" fillId="7" borderId="14" xfId="23" applyFont="1" applyFill="1" applyBorder="1" applyAlignment="1">
      <alignment horizontal="left" vertical="center" wrapText="1"/>
    </xf>
    <xf numFmtId="183" fontId="13" fillId="7" borderId="13" xfId="23" applyFont="1" applyFill="1" applyBorder="1" applyAlignment="1">
      <alignment horizontal="center" vertical="center" wrapText="1"/>
    </xf>
    <xf numFmtId="0" fontId="13" fillId="0" borderId="13" xfId="0" applyFont="1" applyBorder="1"/>
    <xf numFmtId="1" fontId="16" fillId="7" borderId="1" xfId="24" applyNumberFormat="1" applyFont="1" applyFill="1" applyBorder="1" applyAlignment="1">
      <alignment horizontal="center" vertical="center" wrapText="1"/>
    </xf>
    <xf numFmtId="183" fontId="13" fillId="0" borderId="1" xfId="23" applyFont="1" applyBorder="1" applyAlignment="1">
      <alignment horizontal="justify" vertical="center" wrapText="1"/>
    </xf>
    <xf numFmtId="1" fontId="13" fillId="0" borderId="1" xfId="23" applyNumberFormat="1" applyFont="1" applyBorder="1" applyAlignment="1">
      <alignment horizontal="center" vertical="center"/>
    </xf>
    <xf numFmtId="43" fontId="13" fillId="0" borderId="1" xfId="1" applyFont="1" applyFill="1" applyBorder="1" applyAlignment="1">
      <alignment vertical="center" wrapText="1"/>
    </xf>
    <xf numFmtId="1" fontId="12" fillId="11" borderId="1" xfId="0" applyNumberFormat="1" applyFont="1" applyFill="1" applyBorder="1" applyAlignment="1">
      <alignment horizontal="center" vertical="center"/>
    </xf>
    <xf numFmtId="0" fontId="12" fillId="11" borderId="1" xfId="0" applyFont="1" applyFill="1" applyBorder="1" applyAlignment="1">
      <alignment vertical="center"/>
    </xf>
    <xf numFmtId="0" fontId="13" fillId="11" borderId="0" xfId="0" applyFont="1" applyFill="1" applyBorder="1" applyAlignment="1">
      <alignment vertical="center"/>
    </xf>
    <xf numFmtId="0" fontId="12" fillId="11" borderId="0" xfId="0" applyFont="1" applyFill="1" applyBorder="1" applyAlignment="1">
      <alignment horizontal="justify" vertical="center" wrapText="1"/>
    </xf>
    <xf numFmtId="0" fontId="12" fillId="11" borderId="0" xfId="0" applyFont="1" applyFill="1" applyBorder="1" applyAlignment="1">
      <alignment horizontal="justify" vertical="center"/>
    </xf>
    <xf numFmtId="0" fontId="12" fillId="11" borderId="0" xfId="0" applyFont="1" applyFill="1" applyBorder="1" applyAlignment="1">
      <alignment vertical="center"/>
    </xf>
    <xf numFmtId="0" fontId="13" fillId="11" borderId="0" xfId="4" applyNumberFormat="1" applyFont="1" applyFill="1" applyBorder="1" applyAlignment="1">
      <alignment horizontal="center" vertical="center"/>
    </xf>
    <xf numFmtId="43" fontId="12" fillId="11" borderId="0" xfId="1" applyFont="1" applyFill="1" applyBorder="1" applyAlignment="1">
      <alignment horizontal="center" vertical="center"/>
    </xf>
    <xf numFmtId="165" fontId="12" fillId="11" borderId="0" xfId="0" applyNumberFormat="1" applyFont="1" applyFill="1" applyBorder="1" applyAlignment="1">
      <alignment horizontal="center" vertical="center"/>
    </xf>
    <xf numFmtId="165" fontId="12" fillId="11" borderId="0" xfId="0" applyNumberFormat="1" applyFont="1" applyFill="1" applyBorder="1" applyAlignment="1">
      <alignment horizontal="justify" vertical="center"/>
    </xf>
    <xf numFmtId="0" fontId="13" fillId="12" borderId="3" xfId="4" applyNumberFormat="1" applyFont="1" applyFill="1" applyBorder="1" applyAlignment="1">
      <alignment horizontal="center" vertical="center"/>
    </xf>
    <xf numFmtId="43" fontId="12" fillId="12" borderId="3" xfId="1" applyFont="1" applyFill="1" applyBorder="1" applyAlignment="1">
      <alignment horizontal="center" vertical="center"/>
    </xf>
    <xf numFmtId="43" fontId="12" fillId="12" borderId="1" xfId="1" applyFont="1" applyFill="1" applyBorder="1" applyAlignment="1">
      <alignment horizontal="center" vertical="center"/>
    </xf>
    <xf numFmtId="165" fontId="12" fillId="12" borderId="10" xfId="0" applyNumberFormat="1" applyFont="1" applyFill="1" applyBorder="1" applyAlignment="1">
      <alignment horizontal="justify" vertical="center"/>
    </xf>
    <xf numFmtId="165" fontId="12" fillId="12" borderId="15" xfId="0" applyNumberFormat="1" applyFont="1" applyFill="1" applyBorder="1" applyAlignment="1">
      <alignment horizontal="justify" vertical="center"/>
    </xf>
    <xf numFmtId="0" fontId="13" fillId="7" borderId="3" xfId="0" applyFont="1" applyFill="1" applyBorder="1" applyAlignment="1"/>
    <xf numFmtId="0" fontId="0" fillId="7" borderId="7" xfId="0" applyFont="1" applyFill="1" applyBorder="1" applyAlignment="1"/>
    <xf numFmtId="0" fontId="0" fillId="7" borderId="6" xfId="0" applyFont="1" applyFill="1" applyBorder="1" applyAlignment="1"/>
    <xf numFmtId="3" fontId="13" fillId="0" borderId="8" xfId="23" applyNumberFormat="1" applyFont="1" applyFill="1" applyBorder="1" applyAlignment="1">
      <alignment horizontal="center" vertical="center" wrapText="1"/>
    </xf>
    <xf numFmtId="183" fontId="13" fillId="7" borderId="8" xfId="23" applyFont="1" applyFill="1" applyBorder="1" applyAlignment="1">
      <alignment horizontal="center" vertical="center"/>
    </xf>
    <xf numFmtId="0" fontId="0" fillId="7" borderId="0" xfId="0" applyFont="1" applyFill="1" applyBorder="1" applyAlignment="1"/>
    <xf numFmtId="0" fontId="0" fillId="7" borderId="12" xfId="0" applyFont="1" applyFill="1" applyBorder="1" applyAlignment="1"/>
    <xf numFmtId="0" fontId="0" fillId="7" borderId="11" xfId="0" applyFont="1" applyFill="1" applyBorder="1" applyAlignment="1"/>
    <xf numFmtId="43" fontId="13" fillId="0" borderId="9" xfId="1" applyFont="1" applyFill="1" applyBorder="1" applyAlignment="1">
      <alignment vertical="center" wrapText="1"/>
    </xf>
    <xf numFmtId="183" fontId="13" fillId="7" borderId="1" xfId="23" applyFont="1" applyFill="1" applyBorder="1" applyAlignment="1">
      <alignment horizontal="center" vertical="center"/>
    </xf>
    <xf numFmtId="166" fontId="13" fillId="7" borderId="1" xfId="0" applyNumberFormat="1" applyFont="1" applyFill="1" applyBorder="1" applyAlignment="1">
      <alignment vertical="center"/>
    </xf>
    <xf numFmtId="43" fontId="13" fillId="7" borderId="9" xfId="1" applyFont="1" applyFill="1" applyBorder="1" applyAlignment="1">
      <alignment horizontal="center" vertical="center" wrapText="1"/>
    </xf>
    <xf numFmtId="14" fontId="0" fillId="0" borderId="1" xfId="0" applyNumberFormat="1" applyFont="1" applyBorder="1" applyAlignment="1">
      <alignment vertical="center"/>
    </xf>
    <xf numFmtId="0" fontId="0" fillId="7" borderId="2" xfId="0" applyFont="1" applyFill="1" applyBorder="1" applyAlignment="1"/>
    <xf numFmtId="0" fontId="0" fillId="7" borderId="4" xfId="0" applyFont="1" applyFill="1" applyBorder="1" applyAlignment="1"/>
    <xf numFmtId="0" fontId="0" fillId="7" borderId="5" xfId="0" applyFont="1" applyFill="1" applyBorder="1" applyAlignment="1"/>
    <xf numFmtId="0" fontId="13" fillId="12" borderId="2" xfId="0" applyFont="1" applyFill="1" applyBorder="1" applyAlignment="1">
      <alignment vertical="center"/>
    </xf>
    <xf numFmtId="43" fontId="12" fillId="12" borderId="0" xfId="1" applyFont="1" applyFill="1" applyBorder="1" applyAlignment="1">
      <alignment horizontal="justify" vertical="center" wrapText="1"/>
    </xf>
    <xf numFmtId="165" fontId="12" fillId="12" borderId="1" xfId="0" applyNumberFormat="1" applyFont="1" applyFill="1" applyBorder="1" applyAlignment="1">
      <alignment horizontal="center" vertical="center"/>
    </xf>
    <xf numFmtId="165" fontId="12" fillId="12" borderId="1" xfId="0" applyNumberFormat="1" applyFont="1" applyFill="1" applyBorder="1" applyAlignment="1">
      <alignment horizontal="justify" vertical="center"/>
    </xf>
    <xf numFmtId="43" fontId="13" fillId="7" borderId="9" xfId="1" applyFont="1" applyFill="1" applyBorder="1" applyAlignment="1">
      <alignment horizontal="justify" vertical="center"/>
    </xf>
    <xf numFmtId="3" fontId="13" fillId="0" borderId="1" xfId="23" applyNumberFormat="1" applyFont="1" applyFill="1" applyBorder="1" applyAlignment="1">
      <alignment horizontal="center" vertical="center"/>
    </xf>
    <xf numFmtId="0" fontId="18" fillId="7" borderId="1" xfId="0" applyFont="1" applyFill="1" applyBorder="1" applyAlignment="1">
      <alignment horizontal="left" vertical="top" wrapText="1"/>
    </xf>
    <xf numFmtId="0" fontId="18" fillId="7" borderId="8" xfId="0" applyFont="1" applyFill="1" applyBorder="1" applyAlignment="1">
      <alignment horizontal="justify" vertical="center" wrapText="1"/>
    </xf>
    <xf numFmtId="166" fontId="12" fillId="12" borderId="15" xfId="0" applyNumberFormat="1" applyFont="1" applyFill="1" applyBorder="1" applyAlignment="1">
      <alignment horizontal="justify" vertical="center"/>
    </xf>
    <xf numFmtId="43" fontId="13" fillId="7" borderId="1" xfId="1" applyFont="1" applyFill="1" applyBorder="1" applyAlignment="1">
      <alignment horizontal="justify" vertical="center"/>
    </xf>
    <xf numFmtId="1" fontId="13" fillId="0" borderId="8" xfId="23" applyNumberFormat="1" applyFont="1" applyFill="1" applyBorder="1" applyAlignment="1">
      <alignment horizontal="center" vertical="center" wrapText="1"/>
    </xf>
    <xf numFmtId="1" fontId="13" fillId="0" borderId="1" xfId="23" applyNumberFormat="1" applyFont="1" applyFill="1" applyBorder="1" applyAlignment="1">
      <alignment horizontal="center" vertical="center"/>
    </xf>
    <xf numFmtId="1" fontId="13" fillId="0" borderId="14" xfId="23" applyNumberFormat="1" applyFont="1" applyFill="1" applyBorder="1" applyAlignment="1">
      <alignment horizontal="center" vertical="center"/>
    </xf>
    <xf numFmtId="3" fontId="13" fillId="7" borderId="14" xfId="23" applyNumberFormat="1" applyFont="1" applyFill="1" applyBorder="1" applyAlignment="1">
      <alignment horizontal="center" vertical="center"/>
    </xf>
    <xf numFmtId="165" fontId="12" fillId="11" borderId="3" xfId="0" applyNumberFormat="1" applyFont="1" applyFill="1" applyBorder="1" applyAlignment="1">
      <alignment horizontal="justify" vertical="center"/>
    </xf>
    <xf numFmtId="9" fontId="13" fillId="0" borderId="1" xfId="4" applyFont="1" applyFill="1" applyBorder="1" applyAlignment="1">
      <alignment horizontal="center" vertical="center"/>
    </xf>
    <xf numFmtId="1" fontId="13" fillId="0" borderId="1" xfId="23" applyNumberFormat="1" applyFont="1" applyFill="1" applyBorder="1" applyAlignment="1">
      <alignment horizontal="center" vertical="center" wrapText="1"/>
    </xf>
    <xf numFmtId="3" fontId="13" fillId="0" borderId="1" xfId="23" applyNumberFormat="1" applyFont="1" applyBorder="1" applyAlignment="1">
      <alignment horizontal="center" vertical="center"/>
    </xf>
    <xf numFmtId="183" fontId="13" fillId="0" borderId="1" xfId="23" applyFont="1" applyBorder="1" applyAlignment="1">
      <alignment horizontal="left" vertical="center" wrapText="1"/>
    </xf>
    <xf numFmtId="4" fontId="13" fillId="0" borderId="1" xfId="23" applyNumberFormat="1" applyFont="1" applyBorder="1" applyAlignment="1">
      <alignment horizontal="center" vertical="center"/>
    </xf>
    <xf numFmtId="9" fontId="13" fillId="7" borderId="1" xfId="4" applyFont="1" applyFill="1" applyBorder="1" applyAlignment="1">
      <alignment horizontal="center" vertical="center"/>
    </xf>
    <xf numFmtId="183" fontId="18" fillId="0" borderId="1" xfId="23" applyFont="1" applyFill="1" applyBorder="1" applyAlignment="1">
      <alignment horizontal="justify" vertical="center" wrapText="1"/>
    </xf>
    <xf numFmtId="183" fontId="18" fillId="0" borderId="1" xfId="23" applyFont="1" applyFill="1" applyBorder="1" applyAlignment="1">
      <alignment horizontal="left" vertical="center" wrapText="1"/>
    </xf>
    <xf numFmtId="1" fontId="12" fillId="11" borderId="1" xfId="0" applyNumberFormat="1" applyFont="1" applyFill="1" applyBorder="1" applyAlignment="1">
      <alignment vertical="center"/>
    </xf>
    <xf numFmtId="1" fontId="12" fillId="11" borderId="3" xfId="0" applyNumberFormat="1" applyFont="1" applyFill="1" applyBorder="1" applyAlignment="1">
      <alignment vertical="center"/>
    </xf>
    <xf numFmtId="1" fontId="13" fillId="0" borderId="8" xfId="23" applyNumberFormat="1" applyFont="1" applyFill="1" applyBorder="1" applyAlignment="1">
      <alignment horizontal="center" vertical="center"/>
    </xf>
    <xf numFmtId="3" fontId="13" fillId="7" borderId="8" xfId="23" applyNumberFormat="1" applyFont="1" applyFill="1" applyBorder="1" applyAlignment="1">
      <alignment horizontal="center" vertical="center"/>
    </xf>
    <xf numFmtId="0" fontId="9" fillId="7" borderId="1" xfId="0" applyFont="1" applyFill="1" applyBorder="1" applyAlignment="1">
      <alignment horizontal="justify" vertical="center" wrapText="1"/>
    </xf>
    <xf numFmtId="0" fontId="47" fillId="7" borderId="1" xfId="0" applyFont="1" applyFill="1" applyBorder="1" applyAlignment="1">
      <alignment horizontal="justify" vertical="center" wrapText="1"/>
    </xf>
    <xf numFmtId="0" fontId="47" fillId="7" borderId="1" xfId="0" applyFont="1" applyFill="1" applyBorder="1" applyAlignment="1">
      <alignment horizontal="left" vertical="center" wrapText="1"/>
    </xf>
    <xf numFmtId="183" fontId="18" fillId="7" borderId="8" xfId="23" applyFont="1" applyFill="1" applyBorder="1" applyAlignment="1">
      <alignment horizontal="justify" vertical="center" wrapText="1"/>
    </xf>
    <xf numFmtId="43" fontId="13" fillId="0" borderId="1" xfId="1" applyFont="1" applyFill="1" applyBorder="1" applyAlignment="1">
      <alignment vertical="center"/>
    </xf>
    <xf numFmtId="3" fontId="13" fillId="0" borderId="1" xfId="23" applyNumberFormat="1" applyFont="1" applyFill="1" applyBorder="1" applyAlignment="1">
      <alignment vertical="center"/>
    </xf>
    <xf numFmtId="43" fontId="13" fillId="0" borderId="14" xfId="1" applyFont="1" applyFill="1" applyBorder="1" applyAlignment="1">
      <alignment vertical="center"/>
    </xf>
    <xf numFmtId="3" fontId="13" fillId="0" borderId="14" xfId="23" applyNumberFormat="1" applyFont="1" applyFill="1" applyBorder="1" applyAlignment="1">
      <alignment vertical="center"/>
    </xf>
    <xf numFmtId="0" fontId="47" fillId="0" borderId="8" xfId="0" applyFont="1" applyFill="1" applyBorder="1" applyAlignment="1">
      <alignment horizontal="justify" vertical="center" wrapText="1"/>
    </xf>
    <xf numFmtId="43" fontId="13" fillId="0" borderId="1" xfId="1" applyFont="1" applyFill="1" applyBorder="1" applyAlignment="1">
      <alignment horizontal="center" vertical="center"/>
    </xf>
    <xf numFmtId="0" fontId="9" fillId="0" borderId="1" xfId="0" applyFont="1" applyFill="1" applyBorder="1" applyAlignment="1">
      <alignment horizontal="justify" vertical="center" wrapText="1"/>
    </xf>
    <xf numFmtId="1" fontId="12" fillId="11" borderId="9" xfId="0" applyNumberFormat="1" applyFont="1" applyFill="1" applyBorder="1" applyAlignment="1">
      <alignment vertical="center"/>
    </xf>
    <xf numFmtId="1" fontId="12" fillId="11" borderId="10" xfId="0" applyNumberFormat="1" applyFont="1" applyFill="1" applyBorder="1" applyAlignment="1">
      <alignment vertical="center"/>
    </xf>
    <xf numFmtId="0" fontId="12" fillId="11" borderId="10" xfId="4" applyNumberFormat="1" applyFont="1" applyFill="1" applyBorder="1" applyAlignment="1">
      <alignment vertical="center"/>
    </xf>
    <xf numFmtId="1" fontId="12" fillId="11" borderId="10" xfId="0" applyNumberFormat="1" applyFont="1" applyFill="1" applyBorder="1" applyAlignment="1">
      <alignment horizontal="center" vertical="center"/>
    </xf>
    <xf numFmtId="1" fontId="12" fillId="11" borderId="10" xfId="0" applyNumberFormat="1" applyFont="1" applyFill="1" applyBorder="1" applyAlignment="1">
      <alignment horizontal="justify" vertical="center"/>
    </xf>
    <xf numFmtId="1" fontId="12" fillId="11" borderId="15" xfId="0" applyNumberFormat="1" applyFont="1" applyFill="1" applyBorder="1" applyAlignment="1">
      <alignment horizontal="justify" vertical="center"/>
    </xf>
    <xf numFmtId="0" fontId="13" fillId="7" borderId="1" xfId="0" applyFont="1" applyFill="1" applyBorder="1" applyAlignment="1">
      <alignment horizontal="left" vertical="center" wrapText="1" readingOrder="2"/>
    </xf>
    <xf numFmtId="49" fontId="13" fillId="0" borderId="8" xfId="23" applyNumberFormat="1" applyFont="1" applyFill="1" applyBorder="1" applyAlignment="1">
      <alignment horizontal="center" vertical="center" wrapText="1"/>
    </xf>
    <xf numFmtId="3" fontId="13" fillId="7" borderId="8" xfId="23" applyNumberFormat="1" applyFont="1" applyFill="1" applyBorder="1" applyAlignment="1">
      <alignment horizontal="center" vertical="center" wrapText="1"/>
    </xf>
    <xf numFmtId="0" fontId="18" fillId="7" borderId="1" xfId="0" applyFont="1" applyFill="1" applyBorder="1" applyAlignment="1">
      <alignment horizontal="left" vertical="center" wrapText="1" readingOrder="2"/>
    </xf>
    <xf numFmtId="49" fontId="13" fillId="0" borderId="1" xfId="23" applyNumberFormat="1" applyFont="1" applyFill="1" applyBorder="1" applyAlignment="1">
      <alignment horizontal="center" vertical="center"/>
    </xf>
    <xf numFmtId="49" fontId="13" fillId="0" borderId="14" xfId="23" applyNumberFormat="1" applyFont="1" applyFill="1" applyBorder="1" applyAlignment="1">
      <alignment horizontal="center" vertical="center"/>
    </xf>
    <xf numFmtId="0" fontId="13" fillId="10" borderId="0" xfId="0" applyFont="1" applyFill="1" applyBorder="1" applyAlignment="1">
      <alignment vertical="center"/>
    </xf>
    <xf numFmtId="0" fontId="12" fillId="10" borderId="0" xfId="0" applyFont="1" applyFill="1" applyBorder="1" applyAlignment="1">
      <alignment horizontal="justify" vertical="center" wrapText="1"/>
    </xf>
    <xf numFmtId="0" fontId="12" fillId="10" borderId="0" xfId="0" applyFont="1" applyFill="1" applyBorder="1" applyAlignment="1">
      <alignment horizontal="justify" vertical="center"/>
    </xf>
    <xf numFmtId="0" fontId="12" fillId="10" borderId="0" xfId="0" applyFont="1" applyFill="1" applyBorder="1" applyAlignment="1">
      <alignment vertical="center"/>
    </xf>
    <xf numFmtId="0" fontId="13" fillId="10" borderId="0" xfId="4" applyNumberFormat="1" applyFont="1" applyFill="1" applyBorder="1" applyAlignment="1">
      <alignment horizontal="center" vertical="center"/>
    </xf>
    <xf numFmtId="43" fontId="12" fillId="10" borderId="0" xfId="1" applyFont="1" applyFill="1" applyBorder="1" applyAlignment="1">
      <alignment horizontal="center" vertical="center"/>
    </xf>
    <xf numFmtId="165" fontId="12" fillId="10" borderId="3" xfId="0" applyNumberFormat="1" applyFont="1" applyFill="1" applyBorder="1" applyAlignment="1">
      <alignment horizontal="justify" vertical="center"/>
    </xf>
    <xf numFmtId="165" fontId="12" fillId="10" borderId="6" xfId="0" applyNumberFormat="1" applyFont="1" applyFill="1" applyBorder="1" applyAlignment="1">
      <alignment horizontal="justify" vertical="center"/>
    </xf>
    <xf numFmtId="0" fontId="13" fillId="11" borderId="3" xfId="4" applyNumberFormat="1" applyFont="1" applyFill="1" applyBorder="1" applyAlignment="1">
      <alignment horizontal="center" vertical="center"/>
    </xf>
    <xf numFmtId="43" fontId="12" fillId="11" borderId="3" xfId="1" applyFont="1" applyFill="1" applyBorder="1" applyAlignment="1">
      <alignment horizontal="center" vertical="center"/>
    </xf>
    <xf numFmtId="1" fontId="12" fillId="12" borderId="3" xfId="0" applyNumberFormat="1" applyFont="1" applyFill="1" applyBorder="1" applyAlignment="1">
      <alignment horizontal="left" vertical="center" wrapText="1" indent="1"/>
    </xf>
    <xf numFmtId="0" fontId="12" fillId="12" borderId="10" xfId="0" applyFont="1" applyFill="1" applyBorder="1" applyAlignment="1">
      <alignment horizontal="justify" vertical="center" wrapText="1"/>
    </xf>
    <xf numFmtId="0" fontId="13" fillId="12" borderId="10" xfId="4" applyNumberFormat="1" applyFont="1" applyFill="1" applyBorder="1" applyAlignment="1">
      <alignment horizontal="center" vertical="center"/>
    </xf>
    <xf numFmtId="43" fontId="12" fillId="12" borderId="10" xfId="1" applyFont="1" applyFill="1" applyBorder="1" applyAlignment="1">
      <alignment horizontal="center" vertical="center"/>
    </xf>
    <xf numFmtId="0" fontId="13" fillId="7" borderId="6" xfId="0" applyFont="1" applyFill="1" applyBorder="1" applyAlignment="1"/>
    <xf numFmtId="0" fontId="0" fillId="7" borderId="3" xfId="0" applyFont="1" applyFill="1" applyBorder="1" applyAlignment="1"/>
    <xf numFmtId="0" fontId="20" fillId="7" borderId="1" xfId="0" applyFont="1" applyFill="1" applyBorder="1" applyAlignment="1">
      <alignment horizontal="left" vertical="center" wrapText="1"/>
    </xf>
    <xf numFmtId="0" fontId="33" fillId="7" borderId="1" xfId="0" applyFont="1" applyFill="1" applyBorder="1" applyAlignment="1">
      <alignment horizontal="left" vertical="center" wrapText="1"/>
    </xf>
    <xf numFmtId="0" fontId="33" fillId="7" borderId="1" xfId="0" applyFont="1" applyFill="1" applyBorder="1" applyAlignment="1">
      <alignment horizontal="justify" vertical="center" wrapText="1"/>
    </xf>
    <xf numFmtId="1" fontId="30" fillId="7" borderId="9" xfId="23" applyNumberFormat="1" applyFont="1" applyFill="1" applyBorder="1" applyAlignment="1">
      <alignment horizontal="center" vertical="center" wrapText="1"/>
    </xf>
    <xf numFmtId="1" fontId="30" fillId="7" borderId="10" xfId="23" applyNumberFormat="1" applyFont="1" applyFill="1" applyBorder="1" applyAlignment="1">
      <alignment horizontal="center" vertical="center" wrapText="1"/>
    </xf>
    <xf numFmtId="0" fontId="13" fillId="0" borderId="10" xfId="0" applyFont="1" applyBorder="1" applyAlignment="1">
      <alignment horizontal="center"/>
    </xf>
    <xf numFmtId="0" fontId="0" fillId="7" borderId="10" xfId="0" applyFont="1" applyFill="1" applyBorder="1" applyAlignment="1"/>
    <xf numFmtId="3" fontId="13" fillId="0" borderId="10" xfId="23" applyNumberFormat="1" applyFont="1" applyBorder="1" applyAlignment="1">
      <alignment horizontal="center" vertical="center"/>
    </xf>
    <xf numFmtId="183" fontId="13" fillId="7" borderId="10" xfId="23" applyFont="1" applyFill="1" applyBorder="1" applyAlignment="1">
      <alignment horizontal="justify" vertical="center" wrapText="1"/>
    </xf>
    <xf numFmtId="3" fontId="13" fillId="7" borderId="10" xfId="23" applyNumberFormat="1" applyFont="1" applyFill="1" applyBorder="1" applyAlignment="1">
      <alignment horizontal="center" vertical="center"/>
    </xf>
    <xf numFmtId="183" fontId="13" fillId="7" borderId="10" xfId="23" applyFont="1" applyFill="1" applyBorder="1" applyAlignment="1">
      <alignment horizontal="center" vertical="center"/>
    </xf>
    <xf numFmtId="49" fontId="13" fillId="0" borderId="10" xfId="23" applyNumberFormat="1" applyFont="1" applyFill="1" applyBorder="1" applyAlignment="1">
      <alignment horizontal="center" vertical="center" wrapText="1"/>
    </xf>
    <xf numFmtId="0" fontId="13" fillId="7" borderId="15" xfId="4" applyNumberFormat="1" applyFont="1" applyFill="1" applyBorder="1" applyAlignment="1">
      <alignment horizontal="center" vertical="center"/>
    </xf>
    <xf numFmtId="183" fontId="12" fillId="7" borderId="9" xfId="23" applyFont="1" applyFill="1" applyBorder="1" applyAlignment="1">
      <alignment horizontal="justify" vertical="center" wrapText="1"/>
    </xf>
    <xf numFmtId="183" fontId="12" fillId="7" borderId="10" xfId="23" applyFont="1" applyFill="1" applyBorder="1" applyAlignment="1">
      <alignment horizontal="justify" vertical="center" wrapText="1"/>
    </xf>
    <xf numFmtId="0" fontId="30" fillId="7" borderId="15" xfId="0" applyFont="1" applyFill="1" applyBorder="1" applyAlignment="1">
      <alignment horizontal="justify" vertical="center" wrapText="1"/>
    </xf>
    <xf numFmtId="1" fontId="13" fillId="0" borderId="9" xfId="23" applyNumberFormat="1" applyFont="1" applyFill="1" applyBorder="1" applyAlignment="1">
      <alignment horizontal="center" vertical="center"/>
    </xf>
    <xf numFmtId="0" fontId="0" fillId="0" borderId="10" xfId="0" applyFont="1" applyFill="1" applyBorder="1" applyAlignment="1">
      <alignment vertical="center"/>
    </xf>
    <xf numFmtId="0" fontId="0" fillId="0" borderId="10" xfId="0" applyFont="1" applyBorder="1" applyAlignment="1">
      <alignment vertical="center"/>
    </xf>
    <xf numFmtId="14" fontId="13" fillId="0" borderId="10" xfId="0" applyNumberFormat="1" applyFont="1" applyBorder="1" applyAlignment="1">
      <alignment vertical="center"/>
    </xf>
    <xf numFmtId="0" fontId="0" fillId="0" borderId="15" xfId="0" applyFont="1" applyBorder="1" applyAlignment="1">
      <alignment horizontal="left" vertical="center"/>
    </xf>
    <xf numFmtId="1" fontId="20" fillId="0" borderId="0" xfId="0" applyNumberFormat="1" applyFont="1"/>
    <xf numFmtId="0" fontId="20" fillId="7" borderId="0" xfId="0" applyFont="1" applyFill="1" applyAlignment="1">
      <alignment horizontal="justify" vertical="center" wrapText="1"/>
    </xf>
    <xf numFmtId="0" fontId="20" fillId="7" borderId="0" xfId="0" applyFont="1" applyFill="1" applyAlignment="1">
      <alignment horizontal="justify"/>
    </xf>
    <xf numFmtId="0" fontId="20" fillId="7" borderId="0" xfId="0" applyFont="1" applyFill="1" applyAlignment="1">
      <alignment horizontal="center"/>
    </xf>
    <xf numFmtId="0" fontId="20" fillId="7" borderId="0" xfId="0" applyFont="1" applyFill="1" applyAlignment="1">
      <alignment horizontal="justify" vertical="center"/>
    </xf>
    <xf numFmtId="10" fontId="20" fillId="7" borderId="10" xfId="4" applyNumberFormat="1" applyFont="1" applyFill="1" applyBorder="1" applyAlignment="1">
      <alignment horizontal="center" vertical="center"/>
    </xf>
    <xf numFmtId="165" fontId="20" fillId="7" borderId="10" xfId="0" applyNumberFormat="1" applyFont="1" applyFill="1" applyBorder="1" applyAlignment="1">
      <alignment horizontal="center" vertical="center"/>
    </xf>
    <xf numFmtId="0" fontId="20" fillId="7" borderId="10" xfId="0" applyFont="1" applyFill="1" applyBorder="1" applyAlignment="1">
      <alignment horizontal="justify" vertical="center"/>
    </xf>
    <xf numFmtId="41" fontId="20" fillId="7" borderId="0" xfId="0" applyNumberFormat="1" applyFont="1" applyFill="1" applyAlignment="1">
      <alignment horizontal="center" vertical="center"/>
    </xf>
    <xf numFmtId="1" fontId="20" fillId="7" borderId="0" xfId="0" applyNumberFormat="1" applyFont="1" applyFill="1" applyAlignment="1">
      <alignment horizontal="center" vertical="center"/>
    </xf>
    <xf numFmtId="0" fontId="20" fillId="7" borderId="0" xfId="0" applyFont="1" applyFill="1" applyAlignment="1">
      <alignment horizontal="center" vertical="center"/>
    </xf>
    <xf numFmtId="166" fontId="20" fillId="0" borderId="0" xfId="0" applyNumberFormat="1" applyFont="1" applyAlignment="1">
      <alignment horizontal="right" vertical="center"/>
    </xf>
    <xf numFmtId="166" fontId="20" fillId="0" borderId="0" xfId="0" applyNumberFormat="1" applyFont="1" applyAlignment="1">
      <alignment horizontal="center"/>
    </xf>
    <xf numFmtId="0" fontId="20" fillId="0" borderId="0" xfId="0" applyFont="1" applyAlignment="1">
      <alignment horizontal="justify" vertical="center" wrapText="1"/>
    </xf>
    <xf numFmtId="10" fontId="20" fillId="7" borderId="0" xfId="4" applyNumberFormat="1" applyFont="1" applyFill="1" applyAlignment="1">
      <alignment horizontal="center" vertical="center"/>
    </xf>
    <xf numFmtId="0" fontId="30" fillId="0" borderId="0" xfId="0" applyFont="1" applyBorder="1" applyAlignment="1">
      <alignment horizontal="center" vertical="center"/>
    </xf>
    <xf numFmtId="0" fontId="30" fillId="0" borderId="0" xfId="0" applyFont="1" applyAlignment="1">
      <alignment horizontal="center" vertical="center"/>
    </xf>
    <xf numFmtId="165" fontId="20" fillId="7" borderId="0" xfId="0" applyNumberFormat="1" applyFont="1" applyFill="1" applyAlignment="1">
      <alignment horizontal="center" vertical="center"/>
    </xf>
    <xf numFmtId="0" fontId="36" fillId="0" borderId="1" xfId="0" applyFont="1" applyBorder="1" applyAlignment="1" applyProtection="1">
      <alignment vertical="center" wrapText="1"/>
    </xf>
    <xf numFmtId="3" fontId="3" fillId="0" borderId="1" xfId="0" applyNumberFormat="1" applyFont="1" applyBorder="1" applyAlignment="1" applyProtection="1">
      <alignment horizontal="left" vertical="center" wrapText="1"/>
    </xf>
    <xf numFmtId="0" fontId="30" fillId="8" borderId="9" xfId="0" applyFont="1" applyFill="1" applyBorder="1" applyAlignment="1" applyProtection="1">
      <alignment horizontal="center" vertical="center" textRotation="90" wrapText="1"/>
    </xf>
    <xf numFmtId="1" fontId="30" fillId="8" borderId="9" xfId="0" applyNumberFormat="1" applyFont="1" applyFill="1" applyBorder="1" applyAlignment="1" applyProtection="1">
      <alignment horizontal="center" vertical="center" textRotation="90" wrapText="1"/>
    </xf>
    <xf numFmtId="0" fontId="30" fillId="8" borderId="1" xfId="0" applyFont="1" applyFill="1" applyBorder="1" applyAlignment="1" applyProtection="1">
      <alignment horizontal="center" vertical="center" textRotation="90" wrapText="1"/>
    </xf>
    <xf numFmtId="0" fontId="20" fillId="7" borderId="0" xfId="0" applyFont="1" applyFill="1" applyAlignment="1" applyProtection="1">
      <alignment horizontal="center" vertical="center"/>
    </xf>
    <xf numFmtId="1" fontId="30" fillId="10" borderId="3" xfId="0" applyNumberFormat="1" applyFont="1" applyFill="1" applyBorder="1" applyAlignment="1" applyProtection="1">
      <alignment horizontal="justify" vertical="center" wrapText="1"/>
    </xf>
    <xf numFmtId="169" fontId="30" fillId="10" borderId="10" xfId="0" applyNumberFormat="1" applyFont="1" applyFill="1" applyBorder="1" applyAlignment="1" applyProtection="1">
      <alignment horizontal="justify" vertical="center"/>
    </xf>
    <xf numFmtId="165" fontId="30" fillId="10" borderId="10" xfId="0" applyNumberFormat="1" applyFont="1" applyFill="1" applyBorder="1" applyAlignment="1" applyProtection="1">
      <alignment horizontal="center" vertical="center"/>
    </xf>
    <xf numFmtId="0" fontId="20" fillId="10" borderId="10" xfId="0" applyFont="1" applyFill="1" applyBorder="1" applyAlignment="1" applyProtection="1">
      <alignment horizontal="justify" vertical="center"/>
    </xf>
    <xf numFmtId="43" fontId="20" fillId="10" borderId="10" xfId="8" applyNumberFormat="1" applyFont="1" applyFill="1" applyBorder="1" applyAlignment="1" applyProtection="1">
      <alignment horizontal="right" vertical="center"/>
    </xf>
    <xf numFmtId="1" fontId="30" fillId="10" borderId="10" xfId="0" applyNumberFormat="1" applyFont="1" applyFill="1" applyBorder="1" applyAlignment="1" applyProtection="1">
      <alignment vertical="center"/>
    </xf>
    <xf numFmtId="166" fontId="30" fillId="10" borderId="10" xfId="0" applyNumberFormat="1" applyFont="1" applyFill="1" applyBorder="1" applyAlignment="1" applyProtection="1">
      <alignment vertical="center"/>
    </xf>
    <xf numFmtId="0" fontId="30" fillId="10" borderId="15" xfId="0" applyFont="1" applyFill="1" applyBorder="1" applyAlignment="1" applyProtection="1">
      <alignment horizontal="justify" vertical="center"/>
    </xf>
    <xf numFmtId="1" fontId="30" fillId="7" borderId="7" xfId="0" applyNumberFormat="1" applyFont="1" applyFill="1" applyBorder="1" applyAlignment="1" applyProtection="1">
      <alignment horizontal="justify" vertical="center" wrapText="1"/>
    </xf>
    <xf numFmtId="0" fontId="30" fillId="7" borderId="3" xfId="0" applyFont="1" applyFill="1" applyBorder="1" applyAlignment="1" applyProtection="1">
      <alignment horizontal="justify" vertical="center" wrapText="1"/>
    </xf>
    <xf numFmtId="0" fontId="30" fillId="7" borderId="6" xfId="0" applyFont="1" applyFill="1" applyBorder="1" applyAlignment="1" applyProtection="1">
      <alignment horizontal="justify" vertical="center" wrapText="1"/>
    </xf>
    <xf numFmtId="1" fontId="30" fillId="11" borderId="0" xfId="0" applyNumberFormat="1" applyFont="1" applyFill="1" applyAlignment="1" applyProtection="1">
      <alignment horizontal="justify" vertical="center"/>
    </xf>
    <xf numFmtId="169" fontId="30" fillId="11" borderId="2" xfId="0" applyNumberFormat="1" applyFont="1" applyFill="1" applyBorder="1" applyAlignment="1" applyProtection="1">
      <alignment horizontal="justify" vertical="center"/>
    </xf>
    <xf numFmtId="165" fontId="30" fillId="11" borderId="2" xfId="0" applyNumberFormat="1" applyFont="1" applyFill="1" applyBorder="1" applyAlignment="1" applyProtection="1">
      <alignment horizontal="center" vertical="center"/>
    </xf>
    <xf numFmtId="0" fontId="20" fillId="11" borderId="2" xfId="0" applyFont="1" applyFill="1" applyBorder="1" applyAlignment="1" applyProtection="1">
      <alignment horizontal="justify" vertical="center"/>
    </xf>
    <xf numFmtId="43" fontId="20" fillId="11" borderId="2" xfId="8" applyNumberFormat="1" applyFont="1" applyFill="1" applyBorder="1" applyAlignment="1" applyProtection="1">
      <alignment horizontal="right" vertical="center"/>
    </xf>
    <xf numFmtId="1" fontId="30" fillId="11" borderId="2" xfId="0" applyNumberFormat="1" applyFont="1" applyFill="1" applyBorder="1" applyAlignment="1" applyProtection="1">
      <alignment vertical="center"/>
    </xf>
    <xf numFmtId="0" fontId="30" fillId="11" borderId="5" xfId="0" applyFont="1" applyFill="1" applyBorder="1" applyAlignment="1" applyProtection="1">
      <alignment horizontal="justify" vertical="center"/>
    </xf>
    <xf numFmtId="1" fontId="30" fillId="7" borderId="12" xfId="0" applyNumberFormat="1" applyFont="1" applyFill="1" applyBorder="1" applyAlignment="1" applyProtection="1">
      <alignment horizontal="justify" vertical="center" wrapText="1"/>
    </xf>
    <xf numFmtId="0" fontId="30" fillId="7" borderId="0" xfId="0" applyFont="1" applyFill="1" applyAlignment="1" applyProtection="1">
      <alignment horizontal="justify" vertical="center" wrapText="1"/>
    </xf>
    <xf numFmtId="0" fontId="30" fillId="7" borderId="7" xfId="0" applyFont="1" applyFill="1" applyBorder="1" applyAlignment="1" applyProtection="1">
      <alignment horizontal="justify" vertical="center" wrapText="1"/>
    </xf>
    <xf numFmtId="1" fontId="30" fillId="12" borderId="9" xfId="0" applyNumberFormat="1" applyFont="1" applyFill="1" applyBorder="1" applyAlignment="1" applyProtection="1">
      <alignment horizontal="justify" vertical="center" wrapText="1"/>
    </xf>
    <xf numFmtId="0" fontId="30" fillId="12" borderId="10" xfId="0" applyFont="1" applyFill="1" applyBorder="1" applyAlignment="1" applyProtection="1">
      <alignment horizontal="justify" vertical="center"/>
    </xf>
    <xf numFmtId="0" fontId="30" fillId="12" borderId="10" xfId="0" applyFont="1" applyFill="1" applyBorder="1" applyAlignment="1" applyProtection="1">
      <alignment horizontal="center" vertical="center"/>
    </xf>
    <xf numFmtId="169" fontId="30" fillId="12" borderId="10" xfId="0" applyNumberFormat="1" applyFont="1" applyFill="1" applyBorder="1" applyAlignment="1" applyProtection="1">
      <alignment horizontal="justify" vertical="center"/>
    </xf>
    <xf numFmtId="165" fontId="30" fillId="12" borderId="3" xfId="0" applyNumberFormat="1" applyFont="1" applyFill="1" applyBorder="1" applyAlignment="1" applyProtection="1">
      <alignment horizontal="center" vertical="center"/>
    </xf>
    <xf numFmtId="0" fontId="20" fillId="12" borderId="10" xfId="0" applyFont="1" applyFill="1" applyBorder="1" applyAlignment="1" applyProtection="1">
      <alignment horizontal="justify" vertical="center"/>
    </xf>
    <xf numFmtId="43" fontId="20" fillId="12" borderId="10" xfId="8" applyNumberFormat="1" applyFont="1" applyFill="1" applyBorder="1" applyAlignment="1" applyProtection="1">
      <alignment horizontal="right" vertical="center"/>
    </xf>
    <xf numFmtId="1" fontId="30" fillId="12" borderId="10" xfId="0" applyNumberFormat="1" applyFont="1" applyFill="1" applyBorder="1" applyAlignment="1" applyProtection="1">
      <alignment horizontal="center" vertical="center"/>
    </xf>
    <xf numFmtId="1" fontId="30" fillId="12" borderId="10" xfId="0" applyNumberFormat="1" applyFont="1" applyFill="1" applyBorder="1" applyAlignment="1" applyProtection="1">
      <alignment vertical="center"/>
    </xf>
    <xf numFmtId="166" fontId="30" fillId="12" borderId="10" xfId="0" applyNumberFormat="1" applyFont="1" applyFill="1" applyBorder="1" applyAlignment="1" applyProtection="1">
      <alignment vertical="center"/>
    </xf>
    <xf numFmtId="0" fontId="30" fillId="12" borderId="15" xfId="0" applyFont="1" applyFill="1" applyBorder="1" applyAlignment="1" applyProtection="1">
      <alignment horizontal="justify" vertical="center"/>
    </xf>
    <xf numFmtId="1" fontId="20" fillId="0" borderId="12" xfId="0" applyNumberFormat="1" applyFont="1" applyBorder="1" applyAlignment="1" applyProtection="1">
      <alignment horizontal="justify" vertical="center" wrapText="1"/>
    </xf>
    <xf numFmtId="0" fontId="20" fillId="0" borderId="0" xfId="0" applyFont="1" applyAlignment="1" applyProtection="1">
      <alignment horizontal="justify" vertical="center" wrapText="1"/>
    </xf>
    <xf numFmtId="0" fontId="20" fillId="0" borderId="12" xfId="0" applyFont="1" applyBorder="1" applyAlignment="1" applyProtection="1">
      <alignment horizontal="justify" vertical="center" wrapText="1"/>
    </xf>
    <xf numFmtId="0" fontId="20" fillId="0" borderId="11" xfId="0" applyFont="1" applyBorder="1" applyAlignment="1" applyProtection="1">
      <alignment horizontal="justify" vertical="center" wrapText="1"/>
    </xf>
    <xf numFmtId="0" fontId="20" fillId="0" borderId="7" xfId="0" applyFont="1" applyBorder="1" applyAlignment="1" applyProtection="1">
      <alignment horizontal="justify" vertical="center" wrapText="1"/>
    </xf>
    <xf numFmtId="3" fontId="13" fillId="0" borderId="1" xfId="0" applyNumberFormat="1" applyFont="1" applyBorder="1" applyAlignment="1" applyProtection="1">
      <alignment horizontal="justify" vertical="center" wrapText="1"/>
    </xf>
    <xf numFmtId="43" fontId="20" fillId="0" borderId="1" xfId="9" applyFont="1" applyBorder="1" applyAlignment="1" applyProtection="1">
      <alignment horizontal="right" vertical="center"/>
    </xf>
    <xf numFmtId="1" fontId="20" fillId="0" borderId="1" xfId="0" applyNumberFormat="1" applyFont="1" applyBorder="1" applyAlignment="1" applyProtection="1">
      <alignment horizontal="center" vertical="center"/>
    </xf>
    <xf numFmtId="1" fontId="20" fillId="0" borderId="1" xfId="0" applyNumberFormat="1" applyFont="1" applyBorder="1" applyAlignment="1" applyProtection="1">
      <alignment horizontal="center" vertical="center" wrapText="1"/>
    </xf>
    <xf numFmtId="0" fontId="13" fillId="7" borderId="1" xfId="17" applyFont="1" applyFill="1" applyBorder="1" applyAlignment="1" applyProtection="1">
      <alignment horizontal="justify" vertical="center" wrapText="1"/>
    </xf>
    <xf numFmtId="0" fontId="16" fillId="7" borderId="1" xfId="17" applyFont="1" applyFill="1" applyBorder="1" applyAlignment="1" applyProtection="1">
      <alignment horizontal="justify" vertical="center" wrapText="1"/>
    </xf>
    <xf numFmtId="4" fontId="8" fillId="0" borderId="1" xfId="17" applyNumberFormat="1" applyFont="1" applyBorder="1" applyAlignment="1" applyProtection="1">
      <alignment horizontal="right" vertical="center"/>
    </xf>
    <xf numFmtId="3" fontId="8" fillId="0" borderId="1" xfId="17" applyNumberFormat="1" applyFont="1" applyBorder="1" applyAlignment="1" applyProtection="1">
      <alignment horizontal="right" vertical="center"/>
    </xf>
    <xf numFmtId="0" fontId="20" fillId="0" borderId="4" xfId="0" applyFont="1" applyBorder="1" applyAlignment="1" applyProtection="1">
      <alignment horizontal="justify" vertical="center" wrapText="1"/>
    </xf>
    <xf numFmtId="1" fontId="20" fillId="7" borderId="12" xfId="0" applyNumberFormat="1" applyFont="1" applyFill="1" applyBorder="1" applyAlignment="1" applyProtection="1">
      <alignment horizontal="justify"/>
    </xf>
    <xf numFmtId="0" fontId="20" fillId="7" borderId="12" xfId="0" applyFont="1" applyFill="1" applyBorder="1" applyAlignment="1" applyProtection="1">
      <alignment horizontal="justify"/>
    </xf>
    <xf numFmtId="165" fontId="30" fillId="12" borderId="2" xfId="0" applyNumberFormat="1" applyFont="1" applyFill="1" applyBorder="1" applyAlignment="1" applyProtection="1">
      <alignment horizontal="center" vertical="center"/>
    </xf>
    <xf numFmtId="0" fontId="30" fillId="12" borderId="10" xfId="0" applyFont="1" applyFill="1" applyBorder="1" applyAlignment="1" applyProtection="1">
      <alignment horizontal="justify" vertical="center" wrapText="1"/>
    </xf>
    <xf numFmtId="0" fontId="20" fillId="12" borderId="10" xfId="0" applyFont="1" applyFill="1" applyBorder="1" applyAlignment="1" applyProtection="1">
      <alignment horizontal="justify" vertical="center" wrapText="1"/>
    </xf>
    <xf numFmtId="43" fontId="20" fillId="12" borderId="10" xfId="9" applyFont="1" applyFill="1" applyBorder="1" applyAlignment="1" applyProtection="1">
      <alignment horizontal="right" vertical="center"/>
    </xf>
    <xf numFmtId="1" fontId="20" fillId="12" borderId="10" xfId="0" applyNumberFormat="1" applyFont="1" applyFill="1" applyBorder="1" applyAlignment="1" applyProtection="1">
      <alignment horizontal="center" vertical="center"/>
    </xf>
    <xf numFmtId="0" fontId="20" fillId="12" borderId="10" xfId="0" applyFont="1" applyFill="1" applyBorder="1" applyAlignment="1" applyProtection="1">
      <alignment horizontal="center" vertical="center" wrapText="1"/>
    </xf>
    <xf numFmtId="0" fontId="20" fillId="12" borderId="10" xfId="0" applyFont="1" applyFill="1" applyBorder="1" applyProtection="1"/>
    <xf numFmtId="1" fontId="20" fillId="12" borderId="10" xfId="0" applyNumberFormat="1" applyFont="1" applyFill="1" applyBorder="1" applyAlignment="1" applyProtection="1">
      <alignment vertical="center" wrapText="1"/>
    </xf>
    <xf numFmtId="166" fontId="20" fillId="12" borderId="10" xfId="0" applyNumberFormat="1" applyFont="1" applyFill="1" applyBorder="1" applyAlignment="1" applyProtection="1">
      <alignment horizontal="right" vertical="center"/>
    </xf>
    <xf numFmtId="166" fontId="20" fillId="12" borderId="10" xfId="0" applyNumberFormat="1" applyFont="1" applyFill="1" applyBorder="1" applyAlignment="1" applyProtection="1">
      <alignment horizontal="center"/>
    </xf>
    <xf numFmtId="0" fontId="20" fillId="12" borderId="15" xfId="0" applyFont="1" applyFill="1" applyBorder="1" applyAlignment="1" applyProtection="1">
      <alignment horizontal="justify" vertical="center" wrapText="1"/>
    </xf>
    <xf numFmtId="1" fontId="20" fillId="0" borderId="12" xfId="0" applyNumberFormat="1" applyFont="1" applyBorder="1" applyAlignment="1" applyProtection="1">
      <alignment horizontal="justify"/>
    </xf>
    <xf numFmtId="0" fontId="20" fillId="0" borderId="12" xfId="0" applyFont="1" applyBorder="1" applyAlignment="1" applyProtection="1">
      <alignment horizontal="justify"/>
    </xf>
    <xf numFmtId="43" fontId="8" fillId="0" borderId="1" xfId="9" applyFont="1" applyBorder="1" applyAlignment="1" applyProtection="1">
      <alignment horizontal="right" vertical="center"/>
    </xf>
    <xf numFmtId="43" fontId="8" fillId="0" borderId="8" xfId="9" applyFont="1" applyBorder="1" applyAlignment="1" applyProtection="1">
      <alignment horizontal="right" vertical="center"/>
    </xf>
    <xf numFmtId="1" fontId="20" fillId="0" borderId="8" xfId="0" applyNumberFormat="1" applyFont="1" applyBorder="1" applyAlignment="1" applyProtection="1">
      <alignment horizontal="center" vertical="center"/>
    </xf>
    <xf numFmtId="1" fontId="20" fillId="0" borderId="8" xfId="0" applyNumberFormat="1" applyFont="1" applyBorder="1" applyAlignment="1" applyProtection="1">
      <alignment horizontal="center" vertical="center" wrapText="1"/>
    </xf>
    <xf numFmtId="0" fontId="20" fillId="0" borderId="4" xfId="0" applyFont="1" applyBorder="1" applyAlignment="1" applyProtection="1">
      <alignment horizontal="justify"/>
    </xf>
    <xf numFmtId="0" fontId="20" fillId="0" borderId="9" xfId="0" applyFont="1" applyBorder="1" applyAlignment="1" applyProtection="1">
      <alignment horizontal="justify" vertical="center" wrapText="1"/>
    </xf>
    <xf numFmtId="43" fontId="8" fillId="0" borderId="61" xfId="9" applyFont="1" applyBorder="1" applyAlignment="1" applyProtection="1">
      <alignment horizontal="right" vertical="center"/>
    </xf>
    <xf numFmtId="1" fontId="20" fillId="0" borderId="37" xfId="0" applyNumberFormat="1" applyFont="1" applyBorder="1" applyAlignment="1" applyProtection="1">
      <alignment horizontal="center" vertical="center"/>
    </xf>
    <xf numFmtId="1" fontId="30" fillId="26" borderId="9" xfId="0" applyNumberFormat="1" applyFont="1" applyFill="1" applyBorder="1" applyAlignment="1" applyProtection="1">
      <alignment horizontal="justify" vertical="center"/>
    </xf>
    <xf numFmtId="0" fontId="30" fillId="26" borderId="3" xfId="0" applyFont="1" applyFill="1" applyBorder="1" applyAlignment="1" applyProtection="1">
      <alignment horizontal="justify" vertical="center"/>
    </xf>
    <xf numFmtId="0" fontId="30" fillId="26" borderId="3" xfId="0" applyFont="1" applyFill="1" applyBorder="1" applyAlignment="1" applyProtection="1">
      <alignment horizontal="center" vertical="center"/>
    </xf>
    <xf numFmtId="169" fontId="30" fillId="26" borderId="3" xfId="0" applyNumberFormat="1" applyFont="1" applyFill="1" applyBorder="1" applyAlignment="1" applyProtection="1">
      <alignment horizontal="justify" vertical="center"/>
    </xf>
    <xf numFmtId="165" fontId="30" fillId="26" borderId="3" xfId="0" applyNumberFormat="1" applyFont="1" applyFill="1" applyBorder="1" applyAlignment="1" applyProtection="1">
      <alignment horizontal="center" vertical="center"/>
    </xf>
    <xf numFmtId="0" fontId="30" fillId="26" borderId="3" xfId="0" applyFont="1" applyFill="1" applyBorder="1" applyAlignment="1" applyProtection="1">
      <alignment horizontal="justify" vertical="center" wrapText="1"/>
    </xf>
    <xf numFmtId="0" fontId="20" fillId="26" borderId="3" xfId="0" applyFont="1" applyFill="1" applyBorder="1" applyAlignment="1" applyProtection="1">
      <alignment horizontal="justify" vertical="center" wrapText="1"/>
    </xf>
    <xf numFmtId="43" fontId="20" fillId="26" borderId="0" xfId="8" applyNumberFormat="1" applyFont="1" applyFill="1" applyAlignment="1" applyProtection="1">
      <alignment horizontal="right" vertical="center"/>
    </xf>
    <xf numFmtId="1" fontId="20" fillId="26" borderId="0" xfId="0" applyNumberFormat="1" applyFont="1" applyFill="1" applyAlignment="1" applyProtection="1">
      <alignment horizontal="center" vertical="center"/>
    </xf>
    <xf numFmtId="0" fontId="20" fillId="26" borderId="0" xfId="0" applyFont="1" applyFill="1" applyAlignment="1" applyProtection="1">
      <alignment horizontal="center" vertical="center"/>
    </xf>
    <xf numFmtId="0" fontId="20" fillId="26" borderId="3" xfId="0" applyFont="1" applyFill="1" applyBorder="1" applyProtection="1"/>
    <xf numFmtId="1" fontId="20" fillId="26" borderId="3" xfId="0" applyNumberFormat="1" applyFont="1" applyFill="1" applyBorder="1" applyAlignment="1" applyProtection="1">
      <alignment vertical="center" wrapText="1"/>
    </xf>
    <xf numFmtId="166" fontId="20" fillId="26" borderId="3" xfId="0" applyNumberFormat="1" applyFont="1" applyFill="1" applyBorder="1" applyAlignment="1" applyProtection="1">
      <alignment horizontal="right" vertical="center"/>
    </xf>
    <xf numFmtId="166" fontId="20" fillId="26" borderId="3" xfId="0" applyNumberFormat="1" applyFont="1" applyFill="1" applyBorder="1" applyAlignment="1" applyProtection="1">
      <alignment horizontal="center"/>
    </xf>
    <xf numFmtId="0" fontId="20" fillId="26" borderId="6" xfId="0" applyFont="1" applyFill="1" applyBorder="1" applyAlignment="1" applyProtection="1">
      <alignment horizontal="justify" vertical="center" wrapText="1"/>
    </xf>
    <xf numFmtId="0" fontId="20" fillId="7" borderId="11" xfId="0" applyFont="1" applyFill="1" applyBorder="1" applyAlignment="1" applyProtection="1">
      <alignment horizontal="justify"/>
    </xf>
    <xf numFmtId="165" fontId="30" fillId="12" borderId="10" xfId="0" applyNumberFormat="1" applyFont="1" applyFill="1" applyBorder="1" applyAlignment="1" applyProtection="1">
      <alignment horizontal="center" vertical="center"/>
    </xf>
    <xf numFmtId="0" fontId="20" fillId="12" borderId="10" xfId="0" applyFont="1" applyFill="1" applyBorder="1" applyAlignment="1" applyProtection="1">
      <alignment horizontal="center" vertical="center"/>
    </xf>
    <xf numFmtId="1" fontId="20" fillId="0" borderId="12" xfId="0" applyNumberFormat="1" applyFont="1" applyBorder="1" applyAlignment="1" applyProtection="1">
      <alignment horizontal="justify" vertical="center"/>
    </xf>
    <xf numFmtId="0" fontId="20" fillId="0" borderId="11" xfId="0" applyFont="1" applyBorder="1" applyAlignment="1" applyProtection="1">
      <alignment horizontal="justify" vertical="center"/>
    </xf>
    <xf numFmtId="0" fontId="20" fillId="0" borderId="12" xfId="0" applyFont="1" applyBorder="1" applyAlignment="1" applyProtection="1">
      <alignment horizontal="justify" vertical="center"/>
    </xf>
    <xf numFmtId="0" fontId="20" fillId="0" borderId="7" xfId="0" applyFont="1" applyBorder="1" applyAlignment="1" applyProtection="1">
      <alignment horizontal="justify" vertical="center"/>
    </xf>
    <xf numFmtId="49" fontId="16" fillId="0" borderId="1" xfId="24" applyNumberFormat="1" applyFont="1" applyBorder="1" applyAlignment="1" applyProtection="1">
      <alignment horizontal="justify" vertical="center" wrapText="1"/>
    </xf>
    <xf numFmtId="49" fontId="16" fillId="7" borderId="1" xfId="24" applyNumberFormat="1" applyFont="1" applyFill="1" applyBorder="1" applyAlignment="1" applyProtection="1">
      <alignment horizontal="justify" vertical="center" wrapText="1"/>
    </xf>
    <xf numFmtId="1" fontId="30" fillId="18" borderId="9" xfId="0" applyNumberFormat="1" applyFont="1" applyFill="1" applyBorder="1" applyAlignment="1" applyProtection="1">
      <alignment horizontal="justify" vertical="center"/>
    </xf>
    <xf numFmtId="0" fontId="30" fillId="18" borderId="10" xfId="0" applyFont="1" applyFill="1" applyBorder="1" applyAlignment="1" applyProtection="1">
      <alignment horizontal="justify" vertical="center"/>
    </xf>
    <xf numFmtId="0" fontId="30" fillId="18" borderId="3" xfId="0" applyFont="1" applyFill="1" applyBorder="1" applyAlignment="1" applyProtection="1">
      <alignment horizontal="justify" vertical="center"/>
    </xf>
    <xf numFmtId="0" fontId="30" fillId="18" borderId="3" xfId="0" applyFont="1" applyFill="1" applyBorder="1" applyAlignment="1" applyProtection="1">
      <alignment horizontal="center" vertical="center"/>
    </xf>
    <xf numFmtId="169" fontId="30" fillId="18" borderId="3" xfId="0" applyNumberFormat="1" applyFont="1" applyFill="1" applyBorder="1" applyAlignment="1" applyProtection="1">
      <alignment horizontal="justify" vertical="center"/>
    </xf>
    <xf numFmtId="165" fontId="30" fillId="18" borderId="3" xfId="0" applyNumberFormat="1" applyFont="1" applyFill="1" applyBorder="1" applyAlignment="1" applyProtection="1">
      <alignment horizontal="center" vertical="center"/>
    </xf>
    <xf numFmtId="0" fontId="30" fillId="18" borderId="3" xfId="0" applyFont="1" applyFill="1" applyBorder="1" applyAlignment="1" applyProtection="1">
      <alignment horizontal="justify" vertical="center" wrapText="1"/>
    </xf>
    <xf numFmtId="0" fontId="20" fillId="18" borderId="3" xfId="0" applyFont="1" applyFill="1" applyBorder="1" applyAlignment="1" applyProtection="1">
      <alignment horizontal="justify" vertical="center" wrapText="1"/>
    </xf>
    <xf numFmtId="43" fontId="20" fillId="18" borderId="3" xfId="8" applyNumberFormat="1" applyFont="1" applyFill="1" applyBorder="1" applyAlignment="1" applyProtection="1">
      <alignment horizontal="right" vertical="center"/>
    </xf>
    <xf numFmtId="1" fontId="20" fillId="18" borderId="3" xfId="0" applyNumberFormat="1" applyFont="1" applyFill="1" applyBorder="1" applyAlignment="1" applyProtection="1">
      <alignment horizontal="center" vertical="center"/>
    </xf>
    <xf numFmtId="0" fontId="20" fillId="18" borderId="3" xfId="0" applyFont="1" applyFill="1" applyBorder="1" applyAlignment="1" applyProtection="1">
      <alignment horizontal="center" vertical="center"/>
    </xf>
    <xf numFmtId="0" fontId="20" fillId="18" borderId="3" xfId="0" applyFont="1" applyFill="1" applyBorder="1" applyProtection="1"/>
    <xf numFmtId="1" fontId="20" fillId="18" borderId="3" xfId="0" applyNumberFormat="1" applyFont="1" applyFill="1" applyBorder="1" applyAlignment="1" applyProtection="1">
      <alignment vertical="center" wrapText="1"/>
    </xf>
    <xf numFmtId="166" fontId="20" fillId="18" borderId="3" xfId="0" applyNumberFormat="1" applyFont="1" applyFill="1" applyBorder="1" applyAlignment="1" applyProtection="1">
      <alignment horizontal="right" vertical="center"/>
    </xf>
    <xf numFmtId="166" fontId="20" fillId="18" borderId="3" xfId="0" applyNumberFormat="1" applyFont="1" applyFill="1" applyBorder="1" applyAlignment="1" applyProtection="1">
      <alignment horizontal="center"/>
    </xf>
    <xf numFmtId="0" fontId="20" fillId="18" borderId="6" xfId="0" applyFont="1" applyFill="1" applyBorder="1" applyAlignment="1" applyProtection="1">
      <alignment horizontal="justify" vertical="center" wrapText="1"/>
    </xf>
    <xf numFmtId="0" fontId="20" fillId="7" borderId="7" xfId="0" applyFont="1" applyFill="1" applyBorder="1" applyAlignment="1" applyProtection="1">
      <alignment horizontal="justify"/>
    </xf>
    <xf numFmtId="0" fontId="20" fillId="7" borderId="3" xfId="0" applyFont="1" applyFill="1" applyBorder="1" applyAlignment="1" applyProtection="1">
      <alignment horizontal="justify"/>
    </xf>
    <xf numFmtId="0" fontId="20" fillId="7" borderId="6" xfId="0" applyFont="1" applyFill="1" applyBorder="1" applyAlignment="1" applyProtection="1">
      <alignment horizontal="justify"/>
    </xf>
    <xf numFmtId="1" fontId="20" fillId="12" borderId="3" xfId="0" applyNumberFormat="1" applyFont="1" applyFill="1" applyBorder="1" applyAlignment="1" applyProtection="1">
      <alignment horizontal="center" vertical="center"/>
    </xf>
    <xf numFmtId="0" fontId="20" fillId="12" borderId="3" xfId="0" applyFont="1" applyFill="1" applyBorder="1" applyAlignment="1" applyProtection="1">
      <alignment horizontal="center" vertical="center"/>
    </xf>
    <xf numFmtId="0" fontId="20" fillId="12" borderId="3" xfId="0" applyFont="1" applyFill="1" applyBorder="1" applyProtection="1"/>
    <xf numFmtId="0" fontId="20" fillId="0" borderId="7" xfId="0" applyFont="1" applyBorder="1" applyAlignment="1" applyProtection="1">
      <alignment horizontal="justify"/>
    </xf>
    <xf numFmtId="0" fontId="20" fillId="0" borderId="3" xfId="0" applyFont="1" applyBorder="1" applyAlignment="1" applyProtection="1">
      <alignment horizontal="justify"/>
    </xf>
    <xf numFmtId="43" fontId="20" fillId="0" borderId="8" xfId="9" applyFont="1" applyBorder="1" applyAlignment="1" applyProtection="1">
      <alignment horizontal="right" vertical="center"/>
    </xf>
    <xf numFmtId="43" fontId="20" fillId="0" borderId="37" xfId="9" applyFont="1" applyBorder="1" applyAlignment="1" applyProtection="1">
      <alignment horizontal="right" vertical="center"/>
    </xf>
    <xf numFmtId="1" fontId="20" fillId="0" borderId="37" xfId="0" applyNumberFormat="1" applyFont="1" applyBorder="1" applyAlignment="1" applyProtection="1">
      <alignment horizontal="center" vertical="center" wrapText="1"/>
    </xf>
    <xf numFmtId="0" fontId="20" fillId="0" borderId="50" xfId="0" applyFont="1" applyBorder="1" applyProtection="1"/>
    <xf numFmtId="41" fontId="20" fillId="0" borderId="36" xfId="0" applyNumberFormat="1" applyFont="1" applyBorder="1" applyAlignment="1" applyProtection="1">
      <alignment vertical="center"/>
    </xf>
    <xf numFmtId="1" fontId="20" fillId="0" borderId="36" xfId="0" applyNumberFormat="1" applyFont="1" applyBorder="1" applyAlignment="1" applyProtection="1">
      <alignment horizontal="center" vertical="center" wrapText="1"/>
    </xf>
    <xf numFmtId="0" fontId="13" fillId="0" borderId="37" xfId="0" applyFont="1" applyBorder="1" applyAlignment="1" applyProtection="1">
      <alignment horizontal="left" vertical="center" wrapText="1"/>
    </xf>
    <xf numFmtId="0" fontId="20" fillId="0" borderId="0" xfId="0" applyFont="1" applyAlignment="1" applyProtection="1">
      <alignment horizontal="justify" wrapText="1"/>
    </xf>
    <xf numFmtId="0" fontId="20" fillId="0" borderId="37" xfId="0" applyFont="1" applyBorder="1" applyAlignment="1" applyProtection="1">
      <alignment wrapText="1"/>
    </xf>
    <xf numFmtId="41" fontId="20" fillId="0" borderId="37" xfId="0" applyNumberFormat="1" applyFont="1" applyBorder="1" applyAlignment="1" applyProtection="1">
      <alignment vertical="center"/>
    </xf>
    <xf numFmtId="0" fontId="20" fillId="0" borderId="8" xfId="0" applyFont="1" applyBorder="1" applyAlignment="1" applyProtection="1">
      <alignment horizontal="justify" vertical="center" wrapText="1"/>
    </xf>
    <xf numFmtId="9" fontId="20" fillId="0" borderId="8" xfId="11" applyFont="1" applyBorder="1" applyAlignment="1" applyProtection="1">
      <alignment horizontal="center" vertical="center"/>
    </xf>
    <xf numFmtId="0" fontId="13" fillId="7" borderId="14" xfId="0" applyFont="1" applyFill="1" applyBorder="1" applyAlignment="1" applyProtection="1">
      <alignment horizontal="justify" vertical="center" wrapText="1"/>
    </xf>
    <xf numFmtId="43" fontId="20" fillId="0" borderId="14" xfId="9" applyFont="1" applyBorder="1" applyAlignment="1" applyProtection="1">
      <alignment horizontal="right" vertical="center"/>
    </xf>
    <xf numFmtId="1" fontId="20" fillId="0" borderId="13" xfId="0" applyNumberFormat="1" applyFont="1" applyBorder="1" applyAlignment="1" applyProtection="1">
      <alignment horizontal="center" vertical="center" wrapText="1"/>
    </xf>
    <xf numFmtId="1" fontId="20" fillId="0" borderId="9" xfId="0" applyNumberFormat="1" applyFont="1" applyBorder="1" applyAlignment="1" applyProtection="1">
      <alignment horizontal="center" vertical="center"/>
    </xf>
    <xf numFmtId="9" fontId="20" fillId="0" borderId="1" xfId="11" applyFont="1" applyBorder="1" applyAlignment="1" applyProtection="1">
      <alignment horizontal="center" vertical="center"/>
    </xf>
    <xf numFmtId="43" fontId="20" fillId="0" borderId="9" xfId="9" applyFont="1" applyBorder="1" applyAlignment="1" applyProtection="1">
      <alignment horizontal="right" vertical="center"/>
    </xf>
    <xf numFmtId="43" fontId="20" fillId="0" borderId="7" xfId="9" applyFont="1" applyBorder="1" applyAlignment="1" applyProtection="1">
      <alignment horizontal="right" vertical="center"/>
    </xf>
    <xf numFmtId="43" fontId="20" fillId="0" borderId="4" xfId="9" applyFont="1" applyBorder="1" applyAlignment="1" applyProtection="1">
      <alignment horizontal="right" vertical="center"/>
    </xf>
    <xf numFmtId="1" fontId="20" fillId="0" borderId="14" xfId="0" applyNumberFormat="1" applyFont="1" applyBorder="1" applyAlignment="1" applyProtection="1">
      <alignment horizontal="center" vertical="center" wrapText="1"/>
    </xf>
    <xf numFmtId="0" fontId="1" fillId="7" borderId="63" xfId="0" applyFont="1" applyFill="1" applyBorder="1" applyAlignment="1" applyProtection="1">
      <alignment horizontal="justify" vertical="center" wrapText="1"/>
    </xf>
    <xf numFmtId="0" fontId="1" fillId="7" borderId="37" xfId="0" applyFont="1" applyFill="1" applyBorder="1" applyAlignment="1" applyProtection="1">
      <alignment horizontal="justify" vertical="center" wrapText="1"/>
    </xf>
    <xf numFmtId="43" fontId="20" fillId="0" borderId="40" xfId="9" applyFont="1" applyBorder="1" applyAlignment="1" applyProtection="1">
      <alignment horizontal="right" vertical="center"/>
    </xf>
    <xf numFmtId="0" fontId="1" fillId="7" borderId="38" xfId="0" applyFont="1" applyFill="1" applyBorder="1" applyAlignment="1" applyProtection="1">
      <alignment horizontal="justify" vertical="center" wrapText="1"/>
    </xf>
    <xf numFmtId="186" fontId="20" fillId="0" borderId="64" xfId="0" applyNumberFormat="1" applyFont="1" applyBorder="1" applyAlignment="1" applyProtection="1">
      <alignment horizontal="right" vertical="center"/>
    </xf>
    <xf numFmtId="1" fontId="20" fillId="0" borderId="36" xfId="0" applyNumberFormat="1" applyFont="1" applyBorder="1" applyAlignment="1" applyProtection="1">
      <alignment horizontal="center" vertical="center"/>
    </xf>
    <xf numFmtId="41" fontId="20" fillId="0" borderId="37" xfId="9" applyNumberFormat="1" applyFont="1" applyBorder="1" applyAlignment="1" applyProtection="1">
      <alignment horizontal="right" vertical="center"/>
    </xf>
    <xf numFmtId="41" fontId="20" fillId="0" borderId="37" xfId="0" applyNumberFormat="1" applyFont="1" applyBorder="1" applyAlignment="1" applyProtection="1">
      <alignment horizontal="center" vertical="center" wrapText="1"/>
    </xf>
    <xf numFmtId="0" fontId="20" fillId="0" borderId="8" xfId="0" applyFont="1" applyBorder="1" applyAlignment="1" applyProtection="1">
      <alignment horizontal="center" vertical="center" wrapText="1"/>
    </xf>
    <xf numFmtId="0" fontId="16" fillId="0" borderId="4" xfId="0" applyFont="1" applyBorder="1" applyAlignment="1" applyProtection="1">
      <alignment horizontal="justify" vertical="center" wrapText="1"/>
    </xf>
    <xf numFmtId="43" fontId="20" fillId="0" borderId="37" xfId="9" applyFont="1" applyBorder="1" applyAlignment="1" applyProtection="1">
      <alignment vertical="center"/>
    </xf>
    <xf numFmtId="0" fontId="16" fillId="0" borderId="1" xfId="17" applyFont="1" applyBorder="1" applyAlignment="1" applyProtection="1">
      <alignment horizontal="justify" vertical="center" wrapText="1"/>
    </xf>
    <xf numFmtId="4" fontId="20" fillId="0" borderId="14" xfId="9" applyNumberFormat="1" applyFont="1" applyBorder="1" applyAlignment="1" applyProtection="1">
      <alignment horizontal="right" vertical="center"/>
    </xf>
    <xf numFmtId="4" fontId="20" fillId="0" borderId="1" xfId="9" applyNumberFormat="1" applyFont="1" applyBorder="1" applyAlignment="1" applyProtection="1">
      <alignment horizontal="right" vertical="center"/>
    </xf>
    <xf numFmtId="0" fontId="48" fillId="0" borderId="8" xfId="17" applyFont="1" applyBorder="1" applyAlignment="1" applyProtection="1">
      <alignment horizontal="justify" vertical="center" wrapText="1"/>
    </xf>
    <xf numFmtId="0" fontId="16" fillId="0" borderId="8" xfId="17" applyFont="1" applyBorder="1" applyAlignment="1" applyProtection="1">
      <alignment horizontal="justify" vertical="center" wrapText="1"/>
    </xf>
    <xf numFmtId="4" fontId="20" fillId="0" borderId="8" xfId="9" applyNumberFormat="1" applyFont="1" applyBorder="1" applyAlignment="1" applyProtection="1">
      <alignment horizontal="right" vertical="center"/>
    </xf>
    <xf numFmtId="0" fontId="16" fillId="0" borderId="7" xfId="17" applyFont="1" applyBorder="1" applyAlignment="1" applyProtection="1">
      <alignment horizontal="justify" vertical="center" wrapText="1"/>
    </xf>
    <xf numFmtId="1" fontId="20" fillId="0" borderId="0" xfId="0" applyNumberFormat="1" applyFont="1" applyBorder="1" applyAlignment="1" applyProtection="1">
      <alignment horizontal="justify"/>
    </xf>
    <xf numFmtId="0" fontId="20" fillId="0" borderId="0" xfId="0" applyFont="1" applyBorder="1" applyAlignment="1" applyProtection="1">
      <alignment horizontal="justify"/>
    </xf>
    <xf numFmtId="1" fontId="20" fillId="0" borderId="0" xfId="0" applyNumberFormat="1" applyFont="1" applyAlignment="1" applyProtection="1">
      <alignment horizontal="justify"/>
    </xf>
    <xf numFmtId="43" fontId="20" fillId="0" borderId="38" xfId="9" applyFont="1" applyBorder="1" applyAlignment="1" applyProtection="1">
      <alignment horizontal="right" vertical="center"/>
    </xf>
    <xf numFmtId="0" fontId="20" fillId="0" borderId="11" xfId="0" applyFont="1" applyBorder="1" applyAlignment="1" applyProtection="1">
      <alignment horizontal="justify"/>
    </xf>
    <xf numFmtId="43" fontId="20" fillId="0" borderId="12" xfId="9" applyFont="1" applyBorder="1" applyAlignment="1" applyProtection="1">
      <alignment horizontal="right" vertical="center"/>
    </xf>
    <xf numFmtId="0" fontId="18" fillId="7" borderId="1" xfId="25" applyFont="1" applyFill="1" applyBorder="1" applyAlignment="1" applyProtection="1">
      <alignment horizontal="justify" vertical="center" wrapText="1"/>
    </xf>
    <xf numFmtId="0" fontId="16" fillId="7" borderId="1" xfId="25" applyFont="1" applyFill="1" applyBorder="1" applyAlignment="1" applyProtection="1">
      <alignment horizontal="justify" vertical="center" wrapText="1"/>
    </xf>
    <xf numFmtId="0" fontId="16" fillId="0" borderId="36" xfId="0" applyFont="1" applyBorder="1" applyAlignment="1" applyProtection="1">
      <alignment horizontal="center" vertical="center" wrapText="1"/>
    </xf>
    <xf numFmtId="0" fontId="16" fillId="0" borderId="50" xfId="0" applyFont="1" applyBorder="1" applyAlignment="1" applyProtection="1">
      <alignment horizontal="justify" vertical="center" wrapText="1"/>
    </xf>
    <xf numFmtId="0" fontId="16" fillId="7" borderId="1" xfId="0" applyFont="1" applyFill="1" applyBorder="1" applyAlignment="1" applyProtection="1">
      <alignment horizontal="justify" vertical="center"/>
    </xf>
    <xf numFmtId="1" fontId="16" fillId="0" borderId="1" xfId="0" applyNumberFormat="1" applyFont="1" applyBorder="1" applyAlignment="1" applyProtection="1">
      <alignment horizontal="center" vertical="center"/>
    </xf>
    <xf numFmtId="10" fontId="20" fillId="0" borderId="1" xfId="11" applyNumberFormat="1" applyFont="1" applyBorder="1" applyAlignment="1" applyProtection="1">
      <alignment horizontal="center" vertical="center"/>
    </xf>
    <xf numFmtId="1" fontId="20" fillId="0" borderId="19" xfId="0" applyNumberFormat="1" applyFont="1" applyBorder="1" applyAlignment="1" applyProtection="1">
      <alignment horizontal="justify"/>
    </xf>
    <xf numFmtId="0" fontId="20" fillId="0" borderId="20" xfId="0" applyFont="1" applyBorder="1" applyAlignment="1" applyProtection="1">
      <alignment horizontal="justify"/>
    </xf>
    <xf numFmtId="0" fontId="20" fillId="7" borderId="20" xfId="0" applyFont="1" applyFill="1" applyBorder="1" applyAlignment="1" applyProtection="1">
      <alignment horizontal="justify"/>
    </xf>
    <xf numFmtId="0" fontId="30" fillId="7" borderId="20" xfId="0" applyFont="1" applyFill="1" applyBorder="1" applyAlignment="1" applyProtection="1">
      <alignment horizontal="center" vertical="center"/>
    </xf>
    <xf numFmtId="0" fontId="20" fillId="7" borderId="20" xfId="0" applyFont="1" applyFill="1" applyBorder="1" applyAlignment="1" applyProtection="1">
      <alignment horizontal="center"/>
    </xf>
    <xf numFmtId="169" fontId="20" fillId="7" borderId="21" xfId="0" applyNumberFormat="1" applyFont="1" applyFill="1" applyBorder="1" applyAlignment="1" applyProtection="1">
      <alignment horizontal="justify" vertical="center"/>
    </xf>
    <xf numFmtId="43" fontId="30" fillId="7" borderId="22" xfId="9" applyFont="1" applyFill="1" applyBorder="1" applyAlignment="1" applyProtection="1">
      <alignment horizontal="right" vertical="center"/>
    </xf>
    <xf numFmtId="0" fontId="20" fillId="7" borderId="19" xfId="0" applyFont="1" applyFill="1" applyBorder="1" applyAlignment="1" applyProtection="1">
      <alignment horizontal="justify" vertical="center"/>
    </xf>
    <xf numFmtId="0" fontId="20" fillId="7" borderId="21" xfId="0" applyFont="1" applyFill="1" applyBorder="1" applyAlignment="1" applyProtection="1">
      <alignment horizontal="justify" vertical="center"/>
    </xf>
    <xf numFmtId="0" fontId="20" fillId="7" borderId="20" xfId="0" applyFont="1" applyFill="1" applyBorder="1" applyAlignment="1" applyProtection="1">
      <alignment horizontal="center" vertical="center"/>
    </xf>
    <xf numFmtId="0" fontId="20" fillId="0" borderId="20" xfId="0" applyFont="1" applyBorder="1" applyProtection="1"/>
    <xf numFmtId="1" fontId="20" fillId="0" borderId="20" xfId="0" applyNumberFormat="1" applyFont="1" applyBorder="1" applyProtection="1"/>
    <xf numFmtId="166" fontId="20" fillId="0" borderId="20" xfId="0" applyNumberFormat="1" applyFont="1" applyBorder="1" applyAlignment="1" applyProtection="1">
      <alignment horizontal="center"/>
    </xf>
    <xf numFmtId="0" fontId="30" fillId="0" borderId="0" xfId="0" applyFont="1" applyAlignment="1" applyProtection="1">
      <alignment horizontal="justify"/>
    </xf>
    <xf numFmtId="169" fontId="20" fillId="7" borderId="0" xfId="0" applyNumberFormat="1" applyFont="1" applyFill="1" applyAlignment="1" applyProtection="1">
      <alignment horizontal="justify" vertical="center"/>
    </xf>
    <xf numFmtId="165" fontId="20" fillId="7" borderId="0" xfId="0" applyNumberFormat="1" applyFont="1" applyFill="1" applyAlignment="1" applyProtection="1">
      <alignment horizontal="center" vertical="center"/>
    </xf>
    <xf numFmtId="43" fontId="20" fillId="7" borderId="0" xfId="9" applyFont="1" applyFill="1" applyAlignment="1" applyProtection="1">
      <alignment horizontal="right" vertical="center"/>
    </xf>
    <xf numFmtId="169" fontId="20" fillId="0" borderId="0" xfId="0" applyNumberFormat="1" applyFont="1" applyAlignment="1" applyProtection="1">
      <alignment horizontal="center" vertical="center"/>
    </xf>
    <xf numFmtId="165" fontId="20" fillId="0" borderId="0" xfId="0" applyNumberFormat="1" applyFont="1" applyAlignment="1" applyProtection="1">
      <alignment horizontal="justify" vertical="center"/>
    </xf>
    <xf numFmtId="43" fontId="20" fillId="7" borderId="0" xfId="8" applyNumberFormat="1" applyFont="1" applyFill="1" applyAlignment="1" applyProtection="1">
      <alignment horizontal="right" vertical="center"/>
    </xf>
    <xf numFmtId="0" fontId="30" fillId="0" borderId="3" xfId="0" applyFont="1" applyBorder="1" applyAlignment="1" applyProtection="1">
      <alignment horizontal="center"/>
    </xf>
    <xf numFmtId="0" fontId="30" fillId="0" borderId="3" xfId="0" applyFont="1" applyBorder="1" applyProtection="1"/>
    <xf numFmtId="0" fontId="30" fillId="0" borderId="0" xfId="0" applyFont="1" applyProtection="1"/>
    <xf numFmtId="0" fontId="30" fillId="0" borderId="0" xfId="0" applyFont="1" applyAlignment="1" applyProtection="1">
      <alignment horizontal="center"/>
    </xf>
    <xf numFmtId="0" fontId="36" fillId="0" borderId="1" xfId="0" applyFont="1" applyBorder="1"/>
    <xf numFmtId="0" fontId="36" fillId="0" borderId="1" xfId="0" applyFont="1" applyBorder="1" applyAlignment="1">
      <alignment horizontal="left"/>
    </xf>
    <xf numFmtId="168" fontId="36" fillId="0" borderId="1" xfId="0" applyNumberFormat="1" applyFont="1" applyBorder="1" applyAlignment="1">
      <alignment horizontal="left"/>
    </xf>
    <xf numFmtId="17" fontId="36" fillId="0" borderId="1" xfId="0" applyNumberFormat="1" applyFont="1" applyBorder="1" applyAlignment="1">
      <alignment horizontal="left"/>
    </xf>
    <xf numFmtId="0" fontId="36" fillId="0" borderId="1" xfId="0" applyFont="1" applyBorder="1" applyAlignment="1">
      <alignment vertical="center"/>
    </xf>
    <xf numFmtId="3" fontId="3" fillId="5" borderId="1" xfId="0" applyNumberFormat="1" applyFont="1" applyFill="1" applyBorder="1" applyAlignment="1">
      <alignment horizontal="left" vertical="center" wrapText="1"/>
    </xf>
    <xf numFmtId="0" fontId="20" fillId="0" borderId="0" xfId="0" applyFont="1" applyAlignment="1">
      <alignment wrapText="1"/>
    </xf>
    <xf numFmtId="0" fontId="30" fillId="0" borderId="1" xfId="0" applyFont="1" applyBorder="1" applyAlignment="1">
      <alignment horizontal="center" vertical="center"/>
    </xf>
    <xf numFmtId="0" fontId="30" fillId="0" borderId="9" xfId="0" applyFont="1" applyBorder="1" applyAlignment="1">
      <alignment horizontal="center" vertical="center"/>
    </xf>
    <xf numFmtId="1" fontId="30" fillId="10" borderId="7" xfId="0" applyNumberFormat="1" applyFont="1" applyFill="1" applyBorder="1" applyAlignment="1">
      <alignment horizontal="left" vertical="center" wrapText="1"/>
    </xf>
    <xf numFmtId="0" fontId="30" fillId="10" borderId="3" xfId="0" applyFont="1" applyFill="1" applyBorder="1" applyAlignment="1">
      <alignment vertical="center"/>
    </xf>
    <xf numFmtId="0" fontId="30" fillId="10" borderId="3" xfId="0" applyFont="1" applyFill="1" applyBorder="1" applyAlignment="1">
      <alignment horizontal="justify" vertical="center"/>
    </xf>
    <xf numFmtId="0" fontId="30" fillId="10" borderId="3" xfId="0" applyFont="1" applyFill="1" applyBorder="1" applyAlignment="1">
      <alignment horizontal="center" vertical="center"/>
    </xf>
    <xf numFmtId="9" fontId="30" fillId="10" borderId="3" xfId="13" applyFont="1" applyFill="1" applyBorder="1" applyAlignment="1">
      <alignment horizontal="center" vertical="center"/>
    </xf>
    <xf numFmtId="3" fontId="20" fillId="10" borderId="3" xfId="0" applyNumberFormat="1" applyFont="1" applyFill="1" applyBorder="1" applyAlignment="1">
      <alignment vertical="center"/>
    </xf>
    <xf numFmtId="3" fontId="30" fillId="10" borderId="3" xfId="0" applyNumberFormat="1" applyFont="1" applyFill="1" applyBorder="1" applyAlignment="1">
      <alignment horizontal="right" vertical="center"/>
    </xf>
    <xf numFmtId="167" fontId="30" fillId="10" borderId="3" xfId="0" applyNumberFormat="1" applyFont="1" applyFill="1" applyBorder="1" applyAlignment="1">
      <alignment horizontal="center" vertical="center"/>
    </xf>
    <xf numFmtId="0" fontId="30" fillId="10" borderId="1" xfId="0" applyFont="1" applyFill="1" applyBorder="1" applyAlignment="1">
      <alignment vertical="center"/>
    </xf>
    <xf numFmtId="0" fontId="30" fillId="10" borderId="1" xfId="0" applyFont="1" applyFill="1" applyBorder="1" applyAlignment="1">
      <alignment horizontal="justify" vertical="center"/>
    </xf>
    <xf numFmtId="0" fontId="20" fillId="7" borderId="7" xfId="0" applyFont="1" applyFill="1" applyBorder="1" applyAlignment="1">
      <alignment vertical="center" wrapText="1"/>
    </xf>
    <xf numFmtId="0" fontId="30" fillId="11" borderId="9" xfId="0" applyFont="1" applyFill="1" applyBorder="1" applyAlignment="1">
      <alignment horizontal="left" vertical="center"/>
    </xf>
    <xf numFmtId="1" fontId="30" fillId="11" borderId="10" xfId="0" applyNumberFormat="1" applyFont="1" applyFill="1" applyBorder="1" applyAlignment="1">
      <alignment horizontal="left" vertical="center"/>
    </xf>
    <xf numFmtId="0" fontId="30" fillId="11" borderId="3" xfId="0" applyFont="1" applyFill="1" applyBorder="1" applyAlignment="1">
      <alignment vertical="center"/>
    </xf>
    <xf numFmtId="0" fontId="30" fillId="11" borderId="3" xfId="0" applyFont="1" applyFill="1" applyBorder="1" applyAlignment="1">
      <alignment horizontal="justify" vertical="center"/>
    </xf>
    <xf numFmtId="0" fontId="30" fillId="11" borderId="3" xfId="0" applyFont="1" applyFill="1" applyBorder="1" applyAlignment="1">
      <alignment horizontal="center" vertical="center"/>
    </xf>
    <xf numFmtId="9" fontId="30" fillId="11" borderId="3" xfId="13" applyFont="1" applyFill="1" applyBorder="1" applyAlignment="1">
      <alignment horizontal="center" vertical="center"/>
    </xf>
    <xf numFmtId="3" fontId="20" fillId="11" borderId="3" xfId="0" applyNumberFormat="1" applyFont="1" applyFill="1" applyBorder="1" applyAlignment="1">
      <alignment vertical="center"/>
    </xf>
    <xf numFmtId="3" fontId="30" fillId="11" borderId="3" xfId="0" applyNumberFormat="1" applyFont="1" applyFill="1" applyBorder="1" applyAlignment="1">
      <alignment horizontal="right" vertical="center"/>
    </xf>
    <xf numFmtId="167" fontId="30" fillId="11" borderId="3" xfId="0" applyNumberFormat="1" applyFont="1" applyFill="1" applyBorder="1" applyAlignment="1">
      <alignment horizontal="center" vertical="center"/>
    </xf>
    <xf numFmtId="0" fontId="30" fillId="11" borderId="0" xfId="0" applyFont="1" applyFill="1" applyAlignment="1">
      <alignment vertical="center"/>
    </xf>
    <xf numFmtId="0" fontId="30" fillId="11" borderId="1" xfId="0" applyFont="1" applyFill="1" applyBorder="1" applyAlignment="1">
      <alignment vertical="center"/>
    </xf>
    <xf numFmtId="166" fontId="30" fillId="11" borderId="1" xfId="0" applyNumberFormat="1" applyFont="1" applyFill="1" applyBorder="1" applyAlignment="1">
      <alignment vertical="center"/>
    </xf>
    <xf numFmtId="0" fontId="30" fillId="11" borderId="1" xfId="0" applyFont="1" applyFill="1" applyBorder="1" applyAlignment="1">
      <alignment horizontal="justify" vertical="center"/>
    </xf>
    <xf numFmtId="0" fontId="20" fillId="7" borderId="12" xfId="0" applyFont="1" applyFill="1" applyBorder="1" applyAlignment="1">
      <alignment vertical="center" wrapText="1"/>
    </xf>
    <xf numFmtId="1" fontId="30" fillId="12" borderId="9" xfId="0" applyNumberFormat="1" applyFont="1" applyFill="1" applyBorder="1" applyAlignment="1">
      <alignment horizontal="left" vertical="center" wrapText="1"/>
    </xf>
    <xf numFmtId="1" fontId="30" fillId="12" borderId="10" xfId="0" applyNumberFormat="1" applyFont="1" applyFill="1" applyBorder="1" applyAlignment="1">
      <alignment vertical="center"/>
    </xf>
    <xf numFmtId="0" fontId="30" fillId="12" borderId="15" xfId="0" applyFont="1" applyFill="1" applyBorder="1" applyAlignment="1">
      <alignment vertical="center"/>
    </xf>
    <xf numFmtId="0" fontId="30" fillId="12" borderId="1" xfId="0" applyFont="1" applyFill="1" applyBorder="1" applyAlignment="1">
      <alignment horizontal="justify" vertical="center"/>
    </xf>
    <xf numFmtId="0" fontId="30" fillId="12" borderId="1" xfId="0" applyFont="1" applyFill="1" applyBorder="1" applyAlignment="1">
      <alignment vertical="center"/>
    </xf>
    <xf numFmtId="0" fontId="30" fillId="12" borderId="1" xfId="0" applyFont="1" applyFill="1" applyBorder="1" applyAlignment="1">
      <alignment horizontal="center" vertical="center"/>
    </xf>
    <xf numFmtId="9" fontId="30" fillId="12" borderId="1" xfId="13" applyFont="1" applyFill="1" applyBorder="1" applyAlignment="1">
      <alignment horizontal="center" vertical="center"/>
    </xf>
    <xf numFmtId="3" fontId="20" fillId="12" borderId="1" xfId="0" applyNumberFormat="1" applyFont="1" applyFill="1" applyBorder="1" applyAlignment="1">
      <alignment vertical="center"/>
    </xf>
    <xf numFmtId="3" fontId="30" fillId="12" borderId="1" xfId="0" applyNumberFormat="1" applyFont="1" applyFill="1" applyBorder="1" applyAlignment="1">
      <alignment horizontal="right" vertical="center"/>
    </xf>
    <xf numFmtId="167" fontId="30" fillId="12" borderId="8" xfId="0" applyNumberFormat="1" applyFont="1" applyFill="1" applyBorder="1" applyAlignment="1">
      <alignment horizontal="center" vertical="center"/>
    </xf>
    <xf numFmtId="0" fontId="30" fillId="12" borderId="8" xfId="0" applyFont="1" applyFill="1" applyBorder="1" applyAlignment="1">
      <alignment vertical="center"/>
    </xf>
    <xf numFmtId="166" fontId="30" fillId="12" borderId="1" xfId="0" applyNumberFormat="1" applyFont="1" applyFill="1" applyBorder="1" applyAlignment="1">
      <alignment vertical="center"/>
    </xf>
    <xf numFmtId="43" fontId="20" fillId="7" borderId="37" xfId="0" applyNumberFormat="1" applyFont="1" applyFill="1" applyBorder="1" applyAlignment="1">
      <alignment vertical="center" wrapText="1"/>
    </xf>
    <xf numFmtId="1" fontId="20" fillId="7" borderId="46" xfId="0" applyNumberFormat="1" applyFont="1" applyFill="1" applyBorder="1" applyAlignment="1">
      <alignment horizontal="center" vertical="center" wrapText="1"/>
    </xf>
    <xf numFmtId="0" fontId="20" fillId="7" borderId="37" xfId="0" applyFont="1" applyFill="1" applyBorder="1" applyAlignment="1">
      <alignment vertical="center" wrapText="1"/>
    </xf>
    <xf numFmtId="43" fontId="20" fillId="0" borderId="36" xfId="0" applyNumberFormat="1" applyFont="1" applyBorder="1" applyAlignment="1">
      <alignment vertical="center" wrapText="1"/>
    </xf>
    <xf numFmtId="1" fontId="20" fillId="7" borderId="50" xfId="0" applyNumberFormat="1" applyFont="1" applyFill="1" applyBorder="1" applyAlignment="1">
      <alignment horizontal="center" vertical="center" wrapText="1"/>
    </xf>
    <xf numFmtId="43" fontId="20" fillId="0" borderId="46" xfId="0" applyNumberFormat="1" applyFont="1" applyBorder="1" applyAlignment="1">
      <alignment vertical="center" wrapText="1"/>
    </xf>
    <xf numFmtId="1" fontId="20" fillId="7" borderId="37" xfId="0" applyNumberFormat="1" applyFont="1" applyFill="1" applyBorder="1" applyAlignment="1">
      <alignment horizontal="center" vertical="center" wrapText="1"/>
    </xf>
    <xf numFmtId="0" fontId="20" fillId="7" borderId="40" xfId="0" applyFont="1" applyFill="1" applyBorder="1" applyAlignment="1">
      <alignment vertical="center" wrapText="1"/>
    </xf>
    <xf numFmtId="0" fontId="20" fillId="7" borderId="0" xfId="0" applyFont="1" applyFill="1" applyAlignment="1">
      <alignment wrapText="1"/>
    </xf>
    <xf numFmtId="0" fontId="20" fillId="7" borderId="1" xfId="0" applyFont="1" applyFill="1" applyBorder="1" applyAlignment="1">
      <alignment horizontal="center" vertical="center" wrapText="1"/>
    </xf>
    <xf numFmtId="9" fontId="20" fillId="7" borderId="1" xfId="13" applyFont="1" applyFill="1" applyBorder="1" applyAlignment="1">
      <alignment horizontal="center" vertical="center" wrapText="1"/>
    </xf>
    <xf numFmtId="4" fontId="20" fillId="7" borderId="1" xfId="0" applyNumberFormat="1" applyFont="1" applyFill="1" applyBorder="1" applyAlignment="1">
      <alignment horizontal="center" vertical="center" wrapText="1"/>
    </xf>
    <xf numFmtId="43" fontId="20" fillId="7" borderId="14" xfId="0" applyNumberFormat="1" applyFont="1" applyFill="1" applyBorder="1" applyAlignment="1">
      <alignment horizontal="right" vertical="center" wrapText="1"/>
    </xf>
    <xf numFmtId="1" fontId="20" fillId="7" borderId="14" xfId="0" applyNumberFormat="1" applyFont="1" applyFill="1" applyBorder="1" applyAlignment="1">
      <alignment horizontal="center" vertical="center" wrapText="1"/>
    </xf>
    <xf numFmtId="0" fontId="20" fillId="7" borderId="14" xfId="0" applyFont="1" applyFill="1" applyBorder="1" applyAlignment="1">
      <alignment horizontal="justify" vertical="center" wrapText="1"/>
    </xf>
    <xf numFmtId="167" fontId="8" fillId="0" borderId="1" xfId="0" applyNumberFormat="1" applyFont="1" applyBorder="1" applyAlignment="1">
      <alignment horizontal="center" vertical="center"/>
    </xf>
    <xf numFmtId="3" fontId="20" fillId="0" borderId="1" xfId="0" applyNumberFormat="1" applyFont="1" applyBorder="1" applyAlignment="1">
      <alignment horizontal="center" vertical="center"/>
    </xf>
    <xf numFmtId="14" fontId="20" fillId="7" borderId="1" xfId="0" applyNumberFormat="1" applyFont="1" applyFill="1" applyBorder="1" applyAlignment="1">
      <alignment horizontal="center" vertical="center"/>
    </xf>
    <xf numFmtId="0" fontId="20" fillId="7" borderId="0" xfId="0" applyFont="1" applyFill="1" applyAlignment="1">
      <alignment horizontal="center" vertical="center" wrapText="1"/>
    </xf>
    <xf numFmtId="1" fontId="30" fillId="11" borderId="9" xfId="0" applyNumberFormat="1" applyFont="1" applyFill="1" applyBorder="1" applyAlignment="1">
      <alignment horizontal="left" vertical="center"/>
    </xf>
    <xf numFmtId="0" fontId="30" fillId="11" borderId="10" xfId="0" applyFont="1" applyFill="1" applyBorder="1" applyAlignment="1">
      <alignment vertical="center"/>
    </xf>
    <xf numFmtId="0" fontId="30" fillId="11" borderId="15" xfId="0" applyFont="1" applyFill="1" applyBorder="1" applyAlignment="1">
      <alignment vertical="center"/>
    </xf>
    <xf numFmtId="0" fontId="30" fillId="11" borderId="1" xfId="0" applyFont="1" applyFill="1" applyBorder="1" applyAlignment="1">
      <alignment horizontal="center" vertical="center"/>
    </xf>
    <xf numFmtId="9" fontId="30" fillId="11" borderId="1" xfId="13" applyFont="1" applyFill="1" applyBorder="1" applyAlignment="1">
      <alignment horizontal="center" vertical="center"/>
    </xf>
    <xf numFmtId="3" fontId="20" fillId="11" borderId="1" xfId="0" applyNumberFormat="1" applyFont="1" applyFill="1" applyBorder="1" applyAlignment="1">
      <alignment vertical="center"/>
    </xf>
    <xf numFmtId="3" fontId="30" fillId="11" borderId="1" xfId="0" applyNumberFormat="1" applyFont="1" applyFill="1" applyBorder="1" applyAlignment="1">
      <alignment horizontal="right" vertical="center"/>
    </xf>
    <xf numFmtId="43" fontId="30" fillId="11" borderId="1" xfId="0" applyNumberFormat="1" applyFont="1" applyFill="1" applyBorder="1" applyAlignment="1">
      <alignment horizontal="center" vertical="center"/>
    </xf>
    <xf numFmtId="1" fontId="30" fillId="12" borderId="9" xfId="0" applyNumberFormat="1" applyFont="1" applyFill="1" applyBorder="1" applyAlignment="1">
      <alignment horizontal="left" vertical="center" wrapText="1" indent="1"/>
    </xf>
    <xf numFmtId="1" fontId="30" fillId="12" borderId="15" xfId="0" applyNumberFormat="1" applyFont="1" applyFill="1" applyBorder="1" applyAlignment="1">
      <alignment horizontal="center" vertical="center" wrapText="1"/>
    </xf>
    <xf numFmtId="43" fontId="30" fillId="12" borderId="1" xfId="0" applyNumberFormat="1" applyFont="1" applyFill="1" applyBorder="1" applyAlignment="1">
      <alignment horizontal="center" vertical="center" wrapText="1"/>
    </xf>
    <xf numFmtId="1" fontId="30" fillId="12" borderId="8" xfId="0" applyNumberFormat="1" applyFont="1" applyFill="1" applyBorder="1" applyAlignment="1">
      <alignment vertical="center" wrapText="1"/>
    </xf>
    <xf numFmtId="1" fontId="30" fillId="12" borderId="1" xfId="0" applyNumberFormat="1" applyFont="1" applyFill="1" applyBorder="1" applyAlignment="1">
      <alignment vertical="center" wrapText="1"/>
    </xf>
    <xf numFmtId="43" fontId="8" fillId="7" borderId="9" xfId="9" applyNumberFormat="1" applyFont="1" applyFill="1" applyBorder="1" applyAlignment="1">
      <alignment horizontal="center" vertical="center"/>
    </xf>
    <xf numFmtId="0" fontId="20" fillId="7" borderId="6" xfId="0" applyFont="1" applyFill="1" applyBorder="1" applyAlignment="1">
      <alignment vertical="center" wrapText="1"/>
    </xf>
    <xf numFmtId="43" fontId="8" fillId="0" borderId="9" xfId="9" applyNumberFormat="1" applyFont="1" applyBorder="1" applyAlignment="1">
      <alignment horizontal="center" vertical="center"/>
    </xf>
    <xf numFmtId="0" fontId="33" fillId="20" borderId="1" xfId="0" applyFont="1" applyFill="1" applyBorder="1" applyAlignment="1">
      <alignment horizontal="justify" vertical="center" wrapText="1"/>
    </xf>
    <xf numFmtId="43" fontId="8" fillId="0" borderId="7" xfId="9" applyNumberFormat="1" applyFont="1" applyBorder="1" applyAlignment="1">
      <alignment horizontal="center" vertical="center"/>
    </xf>
    <xf numFmtId="1" fontId="20" fillId="7" borderId="36" xfId="0" applyNumberFormat="1" applyFont="1" applyFill="1" applyBorder="1" applyAlignment="1">
      <alignment horizontal="center" vertical="center" wrapText="1"/>
    </xf>
    <xf numFmtId="43" fontId="8" fillId="0" borderId="37" xfId="9" applyNumberFormat="1" applyFont="1" applyBorder="1" applyAlignment="1">
      <alignment horizontal="center" vertical="center"/>
    </xf>
    <xf numFmtId="0" fontId="20" fillId="7" borderId="36" xfId="0" applyFont="1" applyFill="1" applyBorder="1" applyAlignment="1">
      <alignment vertical="center" wrapText="1"/>
    </xf>
    <xf numFmtId="0" fontId="20" fillId="7" borderId="69" xfId="0" applyFont="1" applyFill="1" applyBorder="1" applyAlignment="1">
      <alignment vertical="center" wrapText="1"/>
    </xf>
    <xf numFmtId="43" fontId="20" fillId="0" borderId="50" xfId="0" applyNumberFormat="1" applyFont="1" applyBorder="1" applyAlignment="1">
      <alignment vertical="center"/>
    </xf>
    <xf numFmtId="0" fontId="30" fillId="0" borderId="19" xfId="0" applyFont="1" applyBorder="1" applyAlignment="1">
      <alignment vertical="center"/>
    </xf>
    <xf numFmtId="0" fontId="30" fillId="0" borderId="20" xfId="0" applyFont="1" applyBorder="1" applyAlignment="1">
      <alignment vertical="center"/>
    </xf>
    <xf numFmtId="0" fontId="7" fillId="0" borderId="21" xfId="0" applyFont="1" applyBorder="1" applyAlignment="1">
      <alignment vertical="center"/>
    </xf>
    <xf numFmtId="43" fontId="7" fillId="0" borderId="22" xfId="9" applyFont="1" applyBorder="1" applyAlignment="1">
      <alignment vertical="center"/>
    </xf>
    <xf numFmtId="0" fontId="30" fillId="0" borderId="21" xfId="0" applyFont="1" applyBorder="1" applyAlignment="1">
      <alignment horizontal="justify" vertical="center"/>
    </xf>
    <xf numFmtId="43" fontId="30" fillId="0" borderId="22" xfId="9" applyNumberFormat="1" applyFont="1" applyBorder="1"/>
    <xf numFmtId="165" fontId="7" fillId="0" borderId="19" xfId="0" applyNumberFormat="1" applyFont="1" applyBorder="1" applyAlignment="1">
      <alignment vertical="center"/>
    </xf>
    <xf numFmtId="0" fontId="30" fillId="7" borderId="20" xfId="0" applyFont="1" applyFill="1" applyBorder="1" applyAlignment="1">
      <alignment horizontal="justify" vertical="center"/>
    </xf>
    <xf numFmtId="0" fontId="30" fillId="0" borderId="20" xfId="0" applyFont="1" applyBorder="1" applyAlignment="1">
      <alignment horizontal="right" vertical="center"/>
    </xf>
    <xf numFmtId="164" fontId="30" fillId="0" borderId="20" xfId="0" applyNumberFormat="1" applyFont="1" applyBorder="1" applyAlignment="1">
      <alignment horizontal="center" vertical="center"/>
    </xf>
    <xf numFmtId="0" fontId="30" fillId="0" borderId="21" xfId="0" applyFont="1" applyBorder="1" applyAlignment="1">
      <alignment horizontal="left" vertical="center"/>
    </xf>
    <xf numFmtId="3" fontId="20" fillId="0" borderId="0" xfId="0" applyNumberFormat="1" applyFont="1"/>
    <xf numFmtId="167" fontId="20" fillId="0" borderId="0" xfId="0" applyNumberFormat="1" applyFont="1" applyAlignment="1">
      <alignment horizontal="center"/>
    </xf>
    <xf numFmtId="165" fontId="20" fillId="0" borderId="0" xfId="0" applyNumberFormat="1" applyFont="1"/>
    <xf numFmtId="3" fontId="30" fillId="7" borderId="3" xfId="0" applyNumberFormat="1" applyFont="1" applyFill="1" applyBorder="1" applyAlignment="1">
      <alignment vertical="center"/>
    </xf>
    <xf numFmtId="0" fontId="30" fillId="0" borderId="3" xfId="0" applyFont="1" applyBorder="1"/>
    <xf numFmtId="0" fontId="12" fillId="0" borderId="8" xfId="0" applyFont="1" applyBorder="1" applyAlignment="1">
      <alignment vertical="center"/>
    </xf>
    <xf numFmtId="3" fontId="14" fillId="0" borderId="8" xfId="0" applyNumberFormat="1" applyFont="1" applyBorder="1" applyAlignment="1">
      <alignment horizontal="left" vertical="center" wrapText="1"/>
    </xf>
    <xf numFmtId="0" fontId="12" fillId="8" borderId="8" xfId="0" applyFont="1" applyFill="1" applyBorder="1" applyAlignment="1">
      <alignment horizontal="center" vertical="center" textRotation="90" wrapText="1"/>
    </xf>
    <xf numFmtId="49" fontId="12" fillId="8" borderId="8" xfId="0" applyNumberFormat="1" applyFont="1" applyFill="1" applyBorder="1" applyAlignment="1">
      <alignment horizontal="center" vertical="center" textRotation="90" wrapText="1"/>
    </xf>
    <xf numFmtId="0" fontId="12" fillId="8" borderId="7" xfId="0" applyFont="1" applyFill="1" applyBorder="1" applyAlignment="1">
      <alignment horizontal="center" vertical="center" textRotation="90" wrapText="1"/>
    </xf>
    <xf numFmtId="0" fontId="23" fillId="10" borderId="8" xfId="0" applyFont="1" applyFill="1" applyBorder="1" applyAlignment="1">
      <alignment horizontal="center" vertical="center" wrapText="1"/>
    </xf>
    <xf numFmtId="0" fontId="23" fillId="10" borderId="10" xfId="0" applyFont="1" applyFill="1" applyBorder="1" applyAlignment="1">
      <alignment vertical="center" wrapText="1"/>
    </xf>
    <xf numFmtId="14" fontId="23" fillId="10" borderId="10" xfId="0" applyNumberFormat="1" applyFont="1" applyFill="1" applyBorder="1" applyAlignment="1">
      <alignment vertical="center" wrapText="1"/>
    </xf>
    <xf numFmtId="0" fontId="23" fillId="10" borderId="15" xfId="0" applyFont="1" applyFill="1" applyBorder="1" applyAlignment="1">
      <alignment vertical="center" wrapText="1"/>
    </xf>
    <xf numFmtId="0" fontId="23" fillId="7" borderId="8" xfId="0" applyFont="1" applyFill="1" applyBorder="1" applyAlignment="1">
      <alignment horizontal="center" vertical="center" wrapText="1"/>
    </xf>
    <xf numFmtId="0" fontId="23" fillId="7" borderId="8" xfId="0" applyFont="1" applyFill="1" applyBorder="1" applyAlignment="1">
      <alignment vertical="center" wrapText="1"/>
    </xf>
    <xf numFmtId="0" fontId="23" fillId="15" borderId="6" xfId="0" applyFont="1" applyFill="1" applyBorder="1" applyAlignment="1">
      <alignment horizontal="center" vertical="center" wrapText="1"/>
    </xf>
    <xf numFmtId="0" fontId="23" fillId="7" borderId="13" xfId="0" applyFont="1" applyFill="1" applyBorder="1" applyAlignment="1">
      <alignment horizontal="center" vertical="center" wrapText="1"/>
    </xf>
    <xf numFmtId="0" fontId="23" fillId="7" borderId="13" xfId="0" applyFont="1" applyFill="1" applyBorder="1" applyAlignment="1">
      <alignment vertical="center" wrapText="1"/>
    </xf>
    <xf numFmtId="0" fontId="23" fillId="12" borderId="1" xfId="0" applyFont="1" applyFill="1" applyBorder="1" applyAlignment="1">
      <alignment horizontal="center" vertical="center" wrapText="1"/>
    </xf>
    <xf numFmtId="49" fontId="34" fillId="7" borderId="13" xfId="0" applyNumberFormat="1" applyFont="1" applyFill="1" applyBorder="1" applyAlignment="1">
      <alignment vertical="center" wrapText="1"/>
    </xf>
    <xf numFmtId="0" fontId="34" fillId="7" borderId="13" xfId="0" applyFont="1" applyFill="1" applyBorder="1" applyAlignment="1">
      <alignment vertical="center" wrapText="1"/>
    </xf>
    <xf numFmtId="0" fontId="26" fillId="12" borderId="1" xfId="0" applyFont="1" applyFill="1" applyBorder="1" applyAlignment="1">
      <alignment horizontal="center" vertical="center" wrapText="1"/>
    </xf>
    <xf numFmtId="0" fontId="26" fillId="12" borderId="1" xfId="0" applyFont="1" applyFill="1" applyBorder="1" applyAlignment="1">
      <alignment horizontal="left" vertical="center" wrapText="1"/>
    </xf>
    <xf numFmtId="0" fontId="26" fillId="12" borderId="1" xfId="0" applyFont="1" applyFill="1" applyBorder="1" applyAlignment="1">
      <alignment horizontal="justify" vertical="center" wrapText="1"/>
    </xf>
    <xf numFmtId="43" fontId="26" fillId="12" borderId="1" xfId="1" applyFont="1" applyFill="1" applyBorder="1" applyAlignment="1">
      <alignment horizontal="left" vertical="center" wrapText="1"/>
    </xf>
    <xf numFmtId="14" fontId="26" fillId="12" borderId="1" xfId="0" applyNumberFormat="1" applyFont="1" applyFill="1" applyBorder="1" applyAlignment="1">
      <alignment horizontal="left" vertical="center" wrapText="1"/>
    </xf>
    <xf numFmtId="49" fontId="34" fillId="7" borderId="13" xfId="0" applyNumberFormat="1"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8" xfId="0" applyFont="1" applyFill="1" applyBorder="1" applyAlignment="1">
      <alignment horizontal="justify" vertical="center" wrapText="1"/>
    </xf>
    <xf numFmtId="9" fontId="16" fillId="7" borderId="8" xfId="4" applyFont="1" applyFill="1" applyBorder="1" applyAlignment="1">
      <alignment horizontal="center" vertical="center" wrapText="1"/>
    </xf>
    <xf numFmtId="43" fontId="16" fillId="0" borderId="8" xfId="1" applyFont="1" applyBorder="1" applyAlignment="1">
      <alignment horizontal="center" vertical="center" wrapText="1"/>
    </xf>
    <xf numFmtId="43" fontId="16" fillId="0" borderId="1" xfId="1" applyFont="1" applyBorder="1" applyAlignment="1">
      <alignment horizontal="center" vertical="center" wrapText="1"/>
    </xf>
    <xf numFmtId="49" fontId="16" fillId="7" borderId="1" xfId="0" applyNumberFormat="1" applyFont="1" applyFill="1" applyBorder="1" applyAlignment="1">
      <alignment horizontal="center" vertical="center" wrapText="1"/>
    </xf>
    <xf numFmtId="187" fontId="16" fillId="7" borderId="1" xfId="0" applyNumberFormat="1" applyFont="1" applyFill="1" applyBorder="1" applyAlignment="1">
      <alignment horizontal="center" vertical="center" wrapText="1"/>
    </xf>
    <xf numFmtId="0" fontId="34" fillId="7" borderId="13" xfId="0" applyFont="1" applyFill="1" applyBorder="1" applyAlignment="1">
      <alignment horizontal="center" vertical="center" wrapText="1"/>
    </xf>
    <xf numFmtId="0" fontId="34" fillId="7" borderId="13" xfId="0" applyFont="1" applyFill="1" applyBorder="1" applyAlignment="1">
      <alignment horizontal="justify" vertical="center" wrapText="1"/>
    </xf>
    <xf numFmtId="49" fontId="34" fillId="7" borderId="14" xfId="0" applyNumberFormat="1" applyFont="1" applyFill="1" applyBorder="1" applyAlignment="1">
      <alignment horizontal="center" vertical="center" wrapText="1"/>
    </xf>
    <xf numFmtId="0" fontId="34" fillId="7" borderId="14" xfId="0" applyFont="1" applyFill="1" applyBorder="1" applyAlignment="1">
      <alignment horizontal="center" vertical="center" wrapText="1"/>
    </xf>
    <xf numFmtId="0" fontId="34" fillId="7" borderId="14" xfId="0" applyFont="1" applyFill="1" applyBorder="1" applyAlignment="1">
      <alignment horizontal="justify" vertical="center" wrapText="1"/>
    </xf>
    <xf numFmtId="43" fontId="7" fillId="7" borderId="1" xfId="1" applyFont="1" applyFill="1" applyBorder="1" applyAlignment="1">
      <alignment vertical="center" wrapText="1"/>
    </xf>
    <xf numFmtId="43" fontId="7" fillId="7" borderId="1" xfId="1" applyFont="1" applyFill="1" applyBorder="1" applyAlignment="1">
      <alignment horizontal="center" vertical="center" wrapText="1"/>
    </xf>
    <xf numFmtId="187" fontId="7" fillId="7" borderId="1" xfId="0" applyNumberFormat="1" applyFont="1" applyFill="1" applyBorder="1" applyAlignment="1">
      <alignment horizontal="center" vertical="center" wrapText="1"/>
    </xf>
    <xf numFmtId="0" fontId="7" fillId="7" borderId="1" xfId="0" applyFont="1" applyFill="1" applyBorder="1" applyAlignment="1">
      <alignment vertical="center"/>
    </xf>
    <xf numFmtId="14" fontId="7" fillId="7" borderId="1" xfId="0" applyNumberFormat="1" applyFont="1" applyFill="1" applyBorder="1" applyAlignment="1">
      <alignment horizontal="right" vertical="center"/>
    </xf>
    <xf numFmtId="14" fontId="7" fillId="7" borderId="1" xfId="0" applyNumberFormat="1" applyFont="1" applyFill="1" applyBorder="1" applyAlignment="1">
      <alignment horizontal="left" vertical="center"/>
    </xf>
    <xf numFmtId="0" fontId="7" fillId="7" borderId="1" xfId="0" applyFont="1" applyFill="1" applyBorder="1" applyAlignment="1">
      <alignment horizontal="left" vertical="center"/>
    </xf>
    <xf numFmtId="0" fontId="8" fillId="0" borderId="0" xfId="0" applyFont="1" applyAlignment="1">
      <alignment horizontal="center" vertical="center"/>
    </xf>
    <xf numFmtId="14" fontId="8" fillId="0" borderId="0" xfId="0" applyNumberFormat="1" applyFont="1" applyAlignment="1">
      <alignment horizontal="right" vertical="center"/>
    </xf>
    <xf numFmtId="14" fontId="8" fillId="0" borderId="0" xfId="0" applyNumberFormat="1" applyFont="1" applyAlignment="1">
      <alignment horizontal="left"/>
    </xf>
    <xf numFmtId="0" fontId="49" fillId="0" borderId="0" xfId="0" applyFont="1"/>
    <xf numFmtId="0" fontId="49" fillId="0" borderId="0" xfId="0" applyFont="1" applyAlignment="1">
      <alignment horizontal="center"/>
    </xf>
    <xf numFmtId="0" fontId="49" fillId="0" borderId="0" xfId="0" applyFont="1" applyAlignment="1">
      <alignment horizontal="center" vertical="center"/>
    </xf>
    <xf numFmtId="0" fontId="49" fillId="0" borderId="0" xfId="0" applyFont="1" applyAlignment="1">
      <alignment horizontal="justify" vertical="center"/>
    </xf>
    <xf numFmtId="0" fontId="50" fillId="0" borderId="0" xfId="0" applyFont="1" applyAlignment="1">
      <alignment horizontal="right" vertical="center"/>
    </xf>
    <xf numFmtId="164" fontId="49" fillId="0" borderId="0" xfId="0" applyNumberFormat="1" applyFont="1" applyAlignment="1">
      <alignment horizontal="center"/>
    </xf>
    <xf numFmtId="0" fontId="49" fillId="0" borderId="0" xfId="0" applyFont="1" applyAlignment="1">
      <alignment horizontal="left"/>
    </xf>
    <xf numFmtId="0" fontId="51" fillId="0" borderId="0" xfId="0" applyFont="1"/>
    <xf numFmtId="0" fontId="52" fillId="0" borderId="0" xfId="0" applyFont="1"/>
    <xf numFmtId="0" fontId="52" fillId="0" borderId="0" xfId="0" applyFont="1" applyAlignment="1">
      <alignment horizontal="center"/>
    </xf>
    <xf numFmtId="0" fontId="53" fillId="0" borderId="0" xfId="0" applyFont="1"/>
    <xf numFmtId="0" fontId="54" fillId="0" borderId="0" xfId="0" applyFont="1"/>
    <xf numFmtId="0" fontId="54" fillId="0" borderId="0" xfId="0" applyFont="1" applyAlignment="1">
      <alignment horizontal="center"/>
    </xf>
    <xf numFmtId="0" fontId="26" fillId="0" borderId="23" xfId="0" applyFont="1" applyBorder="1"/>
    <xf numFmtId="0" fontId="26" fillId="0" borderId="27" xfId="0" applyFont="1" applyBorder="1"/>
    <xf numFmtId="168" fontId="26" fillId="0" borderId="17" xfId="0" applyNumberFormat="1" applyFont="1" applyBorder="1" applyAlignment="1">
      <alignment horizontal="left"/>
    </xf>
    <xf numFmtId="17" fontId="26" fillId="0" borderId="17" xfId="0" applyNumberFormat="1" applyFont="1" applyBorder="1" applyAlignment="1">
      <alignment horizontal="left"/>
    </xf>
    <xf numFmtId="3" fontId="26" fillId="5" borderId="17" xfId="0" applyNumberFormat="1" applyFont="1" applyFill="1" applyBorder="1" applyAlignment="1">
      <alignment horizontal="left" vertical="center" wrapText="1"/>
    </xf>
    <xf numFmtId="0" fontId="16" fillId="0" borderId="0" xfId="0" applyFont="1" applyAlignment="1">
      <alignment wrapText="1"/>
    </xf>
    <xf numFmtId="0" fontId="7" fillId="0" borderId="9" xfId="0" applyFont="1" applyBorder="1" applyAlignment="1">
      <alignment horizontal="center" vertical="center"/>
    </xf>
    <xf numFmtId="0" fontId="7" fillId="8" borderId="1" xfId="0" applyFont="1" applyFill="1" applyBorder="1" applyAlignment="1">
      <alignment horizontal="center" vertical="center" textRotation="90" wrapText="1"/>
    </xf>
    <xf numFmtId="49" fontId="7" fillId="8" borderId="1" xfId="0" applyNumberFormat="1" applyFont="1" applyFill="1" applyBorder="1" applyAlignment="1">
      <alignment horizontal="center" vertical="center" textRotation="90" wrapText="1"/>
    </xf>
    <xf numFmtId="0" fontId="7" fillId="8" borderId="1" xfId="0" applyFont="1" applyFill="1" applyBorder="1" applyAlignment="1">
      <alignment horizontal="center" vertical="center" wrapText="1"/>
    </xf>
    <xf numFmtId="0" fontId="7" fillId="8" borderId="6" xfId="0" applyFont="1" applyFill="1" applyBorder="1" applyAlignment="1">
      <alignment horizontal="center" vertical="center" wrapText="1"/>
    </xf>
    <xf numFmtId="164" fontId="7" fillId="8" borderId="1" xfId="0" applyNumberFormat="1" applyFont="1" applyFill="1" applyBorder="1" applyAlignment="1">
      <alignment horizontal="center" vertical="center" wrapText="1"/>
    </xf>
    <xf numFmtId="1" fontId="7" fillId="10" borderId="52" xfId="0" applyNumberFormat="1" applyFont="1" applyFill="1" applyBorder="1" applyAlignment="1">
      <alignment horizontal="center" vertical="center" wrapText="1"/>
    </xf>
    <xf numFmtId="0" fontId="7" fillId="10" borderId="10" xfId="0" applyFont="1" applyFill="1" applyBorder="1" applyAlignment="1">
      <alignment vertical="center"/>
    </xf>
    <xf numFmtId="0" fontId="8" fillId="10" borderId="1" xfId="0" applyFont="1" applyFill="1" applyBorder="1"/>
    <xf numFmtId="0" fontId="8" fillId="10" borderId="17" xfId="0" applyFont="1" applyFill="1" applyBorder="1"/>
    <xf numFmtId="1" fontId="7" fillId="11" borderId="10" xfId="0" applyNumberFormat="1" applyFont="1" applyFill="1" applyBorder="1" applyAlignment="1">
      <alignment horizontal="center" vertical="center"/>
    </xf>
    <xf numFmtId="0" fontId="8" fillId="11" borderId="1" xfId="0" applyFont="1" applyFill="1" applyBorder="1"/>
    <xf numFmtId="0" fontId="8" fillId="11" borderId="17" xfId="0" applyFont="1" applyFill="1" applyBorder="1"/>
    <xf numFmtId="0" fontId="16" fillId="7" borderId="0" xfId="0" applyFont="1" applyFill="1"/>
    <xf numFmtId="1" fontId="7" fillId="12" borderId="1" xfId="0" applyNumberFormat="1" applyFont="1" applyFill="1" applyBorder="1" applyAlignment="1">
      <alignment horizontal="left" vertical="center" wrapText="1" indent="1"/>
    </xf>
    <xf numFmtId="0" fontId="8" fillId="12" borderId="1" xfId="0" applyFont="1" applyFill="1" applyBorder="1"/>
    <xf numFmtId="0" fontId="8" fillId="12" borderId="17" xfId="0" applyFont="1" applyFill="1" applyBorder="1"/>
    <xf numFmtId="1" fontId="8" fillId="7" borderId="13" xfId="0" applyNumberFormat="1" applyFont="1" applyFill="1" applyBorder="1" applyAlignment="1">
      <alignment vertical="center" wrapText="1"/>
    </xf>
    <xf numFmtId="0" fontId="7" fillId="0" borderId="19" xfId="0" applyFont="1" applyBorder="1" applyAlignment="1">
      <alignment vertical="center"/>
    </xf>
    <xf numFmtId="0" fontId="7" fillId="0" borderId="20" xfId="0" applyFont="1" applyBorder="1" applyAlignment="1">
      <alignment vertical="center"/>
    </xf>
    <xf numFmtId="43" fontId="7" fillId="0" borderId="21" xfId="9" applyFont="1" applyBorder="1" applyAlignment="1">
      <alignment vertical="center"/>
    </xf>
    <xf numFmtId="0" fontId="7" fillId="0" borderId="21" xfId="0" applyFont="1" applyBorder="1" applyAlignment="1">
      <alignment horizontal="justify" vertical="center"/>
    </xf>
    <xf numFmtId="0" fontId="7" fillId="7" borderId="20" xfId="0" applyFont="1" applyFill="1" applyBorder="1" applyAlignment="1">
      <alignment horizontal="justify" vertical="center"/>
    </xf>
    <xf numFmtId="0" fontId="7" fillId="0" borderId="20" xfId="0" applyFont="1" applyBorder="1" applyAlignment="1">
      <alignment horizontal="right" vertical="center"/>
    </xf>
    <xf numFmtId="164" fontId="7" fillId="0" borderId="20" xfId="0" applyNumberFormat="1" applyFont="1" applyBorder="1" applyAlignment="1">
      <alignment horizontal="center" vertical="center"/>
    </xf>
    <xf numFmtId="0" fontId="7" fillId="0" borderId="21" xfId="0" applyFont="1" applyBorder="1" applyAlignment="1">
      <alignment horizontal="left" vertical="center"/>
    </xf>
    <xf numFmtId="43" fontId="16" fillId="0" borderId="0" xfId="9" applyFont="1"/>
    <xf numFmtId="165" fontId="16" fillId="0" borderId="0" xfId="0" applyNumberFormat="1" applyFont="1"/>
    <xf numFmtId="0" fontId="7" fillId="0" borderId="3" xfId="0" applyFont="1" applyBorder="1"/>
    <xf numFmtId="0" fontId="16" fillId="0" borderId="3" xfId="0" applyFont="1" applyBorder="1"/>
    <xf numFmtId="0" fontId="16" fillId="7" borderId="0" xfId="0" applyFont="1" applyFill="1" applyAlignment="1">
      <alignment horizontal="justify" vertical="center"/>
    </xf>
    <xf numFmtId="0" fontId="30" fillId="0" borderId="23" xfId="0" applyFont="1" applyBorder="1"/>
    <xf numFmtId="0" fontId="30" fillId="0" borderId="27" xfId="0" applyFont="1" applyBorder="1" applyAlignment="1">
      <alignment horizontal="justify"/>
    </xf>
    <xf numFmtId="0" fontId="30" fillId="0" borderId="1" xfId="0" applyFont="1" applyBorder="1" applyAlignment="1">
      <alignment horizontal="left"/>
    </xf>
    <xf numFmtId="168" fontId="30" fillId="0" borderId="17" xfId="0" applyNumberFormat="1" applyFont="1" applyBorder="1" applyAlignment="1">
      <alignment horizontal="justify"/>
    </xf>
    <xf numFmtId="0" fontId="30" fillId="0" borderId="1" xfId="0" applyFont="1" applyBorder="1"/>
    <xf numFmtId="17" fontId="30" fillId="0" borderId="17" xfId="0" applyNumberFormat="1" applyFont="1" applyBorder="1" applyAlignment="1">
      <alignment horizontal="justify"/>
    </xf>
    <xf numFmtId="3" fontId="5" fillId="5" borderId="17" xfId="0" applyNumberFormat="1" applyFont="1" applyFill="1" applyBorder="1" applyAlignment="1">
      <alignment horizontal="justify" vertical="center" wrapText="1"/>
    </xf>
    <xf numFmtId="0" fontId="31" fillId="0" borderId="0" xfId="0" applyFont="1"/>
    <xf numFmtId="0" fontId="5" fillId="14" borderId="9" xfId="0" applyFont="1" applyFill="1" applyBorder="1" applyAlignment="1">
      <alignment horizontal="center" vertical="center" textRotation="90" wrapText="1"/>
    </xf>
    <xf numFmtId="0" fontId="30" fillId="10" borderId="52" xfId="26" applyFont="1" applyFill="1" applyBorder="1" applyAlignment="1">
      <alignment horizontal="center" vertical="center" wrapText="1"/>
    </xf>
    <xf numFmtId="0" fontId="30" fillId="10" borderId="10" xfId="26" applyFont="1" applyFill="1" applyBorder="1" applyAlignment="1">
      <alignment vertical="center"/>
    </xf>
    <xf numFmtId="0" fontId="30" fillId="10" borderId="10" xfId="26" applyFont="1" applyFill="1" applyBorder="1" applyAlignment="1">
      <alignment horizontal="justify" vertical="center"/>
    </xf>
    <xf numFmtId="0" fontId="20" fillId="10" borderId="10" xfId="26" applyFont="1" applyFill="1" applyBorder="1" applyAlignment="1">
      <alignment vertical="center"/>
    </xf>
    <xf numFmtId="0" fontId="30" fillId="10" borderId="10" xfId="26" applyFont="1" applyFill="1" applyBorder="1" applyAlignment="1">
      <alignment horizontal="center" vertical="center"/>
    </xf>
    <xf numFmtId="0" fontId="30" fillId="10" borderId="10" xfId="9" applyNumberFormat="1" applyFont="1" applyFill="1" applyBorder="1" applyAlignment="1">
      <alignment vertical="center"/>
    </xf>
    <xf numFmtId="167" fontId="30" fillId="10" borderId="10" xfId="9" applyNumberFormat="1" applyFont="1" applyFill="1" applyBorder="1" applyAlignment="1">
      <alignment vertical="center"/>
    </xf>
    <xf numFmtId="0" fontId="30" fillId="10" borderId="10" xfId="9" applyNumberFormat="1" applyFont="1" applyFill="1" applyBorder="1" applyAlignment="1">
      <alignment horizontal="center" vertical="center"/>
    </xf>
    <xf numFmtId="0" fontId="30" fillId="10" borderId="31" xfId="26" applyFont="1" applyFill="1" applyBorder="1" applyAlignment="1">
      <alignment vertical="center"/>
    </xf>
    <xf numFmtId="0" fontId="20" fillId="0" borderId="0" xfId="26" applyFont="1"/>
    <xf numFmtId="0" fontId="30" fillId="11" borderId="3" xfId="26" applyFont="1" applyFill="1" applyBorder="1" applyAlignment="1">
      <alignment horizontal="center" vertical="center"/>
    </xf>
    <xf numFmtId="0" fontId="30" fillId="11" borderId="3" xfId="26" applyFont="1" applyFill="1" applyBorder="1" applyAlignment="1">
      <alignment vertical="center"/>
    </xf>
    <xf numFmtId="0" fontId="30" fillId="11" borderId="10" xfId="26" applyFont="1" applyFill="1" applyBorder="1" applyAlignment="1">
      <alignment vertical="center"/>
    </xf>
    <xf numFmtId="0" fontId="13" fillId="11" borderId="10" xfId="0" applyFont="1" applyFill="1" applyBorder="1" applyAlignment="1">
      <alignment vertical="center" wrapText="1"/>
    </xf>
    <xf numFmtId="0" fontId="12" fillId="11" borderId="10" xfId="0" applyFont="1" applyFill="1" applyBorder="1" applyAlignment="1">
      <alignment horizontal="justify" vertical="center" wrapText="1"/>
    </xf>
    <xf numFmtId="0" fontId="12" fillId="11" borderId="10" xfId="0" applyFont="1" applyFill="1" applyBorder="1" applyAlignment="1">
      <alignment horizontal="center" vertical="center" wrapText="1"/>
    </xf>
    <xf numFmtId="0" fontId="13" fillId="7" borderId="0" xfId="0" applyFont="1" applyFill="1" applyBorder="1" applyAlignment="1">
      <alignment vertical="center" wrapText="1"/>
    </xf>
    <xf numFmtId="0" fontId="30" fillId="16" borderId="10" xfId="26" applyFont="1" applyFill="1" applyBorder="1" applyAlignment="1">
      <alignment horizontal="center" vertical="center" wrapText="1"/>
    </xf>
    <xf numFmtId="0" fontId="30" fillId="16" borderId="10" xfId="26" applyFont="1" applyFill="1" applyBorder="1" applyAlignment="1">
      <alignment vertical="center"/>
    </xf>
    <xf numFmtId="0" fontId="13" fillId="16" borderId="10" xfId="0" applyFont="1" applyFill="1" applyBorder="1" applyAlignment="1">
      <alignment vertical="center" wrapText="1"/>
    </xf>
    <xf numFmtId="0" fontId="12" fillId="16" borderId="10" xfId="0" applyFont="1" applyFill="1" applyBorder="1" applyAlignment="1">
      <alignment horizontal="justify" vertical="center" wrapText="1"/>
    </xf>
    <xf numFmtId="0" fontId="12" fillId="16" borderId="10" xfId="0" applyFont="1" applyFill="1" applyBorder="1" applyAlignment="1">
      <alignment horizontal="center" vertical="center" wrapText="1"/>
    </xf>
    <xf numFmtId="0" fontId="20" fillId="7" borderId="12" xfId="26" applyFont="1" applyFill="1" applyBorder="1" applyAlignment="1">
      <alignment vertical="center" wrapText="1"/>
    </xf>
    <xf numFmtId="0" fontId="20" fillId="7" borderId="0" xfId="26" applyFont="1" applyFill="1" applyBorder="1" applyAlignment="1">
      <alignment vertical="center" wrapText="1"/>
    </xf>
    <xf numFmtId="0" fontId="20" fillId="7" borderId="11" xfId="26" applyFont="1" applyFill="1" applyBorder="1" applyAlignment="1">
      <alignment vertical="center" wrapText="1"/>
    </xf>
    <xf numFmtId="0" fontId="20" fillId="7" borderId="0" xfId="26" applyFont="1" applyFill="1" applyAlignment="1">
      <alignment vertical="center" wrapText="1"/>
    </xf>
    <xf numFmtId="0" fontId="20" fillId="7" borderId="7" xfId="26" applyFont="1" applyFill="1" applyBorder="1" applyAlignment="1">
      <alignment vertical="center" wrapText="1"/>
    </xf>
    <xf numFmtId="0" fontId="20" fillId="7" borderId="3" xfId="26" applyFont="1" applyFill="1" applyBorder="1" applyAlignment="1">
      <alignment vertical="center" wrapText="1"/>
    </xf>
    <xf numFmtId="0" fontId="20" fillId="7" borderId="6" xfId="26" applyFont="1" applyFill="1" applyBorder="1" applyAlignment="1">
      <alignment vertical="center" wrapText="1"/>
    </xf>
    <xf numFmtId="49" fontId="20" fillId="0" borderId="1" xfId="27" applyNumberFormat="1" applyFont="1" applyFill="1" applyBorder="1" applyAlignment="1">
      <alignment horizontal="justify" vertical="center" wrapText="1"/>
    </xf>
    <xf numFmtId="43" fontId="8" fillId="0" borderId="1" xfId="9" applyFont="1" applyFill="1" applyBorder="1" applyAlignment="1">
      <alignment horizontal="center" vertical="center" wrapText="1"/>
    </xf>
    <xf numFmtId="1" fontId="20" fillId="7" borderId="1" xfId="26" applyNumberFormat="1" applyFont="1" applyFill="1" applyBorder="1" applyAlignment="1">
      <alignment horizontal="center" vertical="center" wrapText="1"/>
    </xf>
    <xf numFmtId="0" fontId="13" fillId="7" borderId="1" xfId="26" applyFont="1" applyFill="1" applyBorder="1" applyAlignment="1">
      <alignment horizontal="center" vertical="center" wrapText="1"/>
    </xf>
    <xf numFmtId="0" fontId="20" fillId="7" borderId="2" xfId="26" applyFont="1" applyFill="1" applyBorder="1" applyAlignment="1">
      <alignment vertical="center" wrapText="1"/>
    </xf>
    <xf numFmtId="0" fontId="20" fillId="7" borderId="5" xfId="26" applyFont="1" applyFill="1" applyBorder="1" applyAlignment="1">
      <alignment vertical="center" wrapText="1"/>
    </xf>
    <xf numFmtId="0" fontId="20" fillId="7" borderId="4" xfId="26" applyFont="1" applyFill="1" applyBorder="1" applyAlignment="1">
      <alignment vertical="center" wrapText="1"/>
    </xf>
    <xf numFmtId="0" fontId="30" fillId="0" borderId="12" xfId="26" applyFont="1" applyBorder="1" applyAlignment="1">
      <alignment vertical="center" wrapText="1"/>
    </xf>
    <xf numFmtId="0" fontId="20" fillId="0" borderId="0" xfId="26" applyFont="1" applyBorder="1"/>
    <xf numFmtId="0" fontId="20" fillId="0" borderId="11" xfId="26" applyFont="1" applyBorder="1"/>
    <xf numFmtId="0" fontId="30" fillId="11" borderId="10" xfId="26" applyFont="1" applyFill="1" applyBorder="1" applyAlignment="1">
      <alignment horizontal="justify" vertical="center" wrapText="1"/>
    </xf>
    <xf numFmtId="0" fontId="30" fillId="11" borderId="15" xfId="26" applyFont="1" applyFill="1" applyBorder="1" applyAlignment="1">
      <alignment vertical="center"/>
    </xf>
    <xf numFmtId="0" fontId="30" fillId="11" borderId="9" xfId="26" applyFont="1" applyFill="1" applyBorder="1" applyAlignment="1">
      <alignment vertical="center"/>
    </xf>
    <xf numFmtId="0" fontId="30" fillId="11" borderId="10" xfId="26" applyFont="1" applyFill="1" applyBorder="1" applyAlignment="1">
      <alignment horizontal="justify" vertical="center"/>
    </xf>
    <xf numFmtId="0" fontId="20" fillId="11" borderId="10" xfId="26" applyFont="1" applyFill="1" applyBorder="1" applyAlignment="1">
      <alignment vertical="center"/>
    </xf>
    <xf numFmtId="43" fontId="30" fillId="11" borderId="10" xfId="9" applyFont="1" applyFill="1" applyBorder="1" applyAlignment="1">
      <alignment horizontal="center" vertical="center"/>
    </xf>
    <xf numFmtId="43" fontId="20" fillId="11" borderId="10" xfId="9" applyFont="1" applyFill="1" applyBorder="1" applyAlignment="1">
      <alignment vertical="center"/>
    </xf>
    <xf numFmtId="1" fontId="30" fillId="11" borderId="10" xfId="26" applyNumberFormat="1" applyFont="1" applyFill="1" applyBorder="1" applyAlignment="1">
      <alignment horizontal="center" vertical="center"/>
    </xf>
    <xf numFmtId="0" fontId="30" fillId="11" borderId="10" xfId="26" applyFont="1" applyFill="1" applyBorder="1" applyAlignment="1">
      <alignment horizontal="center" vertical="center"/>
    </xf>
    <xf numFmtId="0" fontId="30" fillId="0" borderId="0" xfId="26" applyFont="1" applyBorder="1" applyAlignment="1">
      <alignment vertical="center" wrapText="1"/>
    </xf>
    <xf numFmtId="0" fontId="30" fillId="0" borderId="11" xfId="26" applyFont="1" applyBorder="1" applyAlignment="1">
      <alignment vertical="center" wrapText="1"/>
    </xf>
    <xf numFmtId="0" fontId="30" fillId="0" borderId="3" xfId="26" applyFont="1" applyBorder="1" applyAlignment="1">
      <alignment vertical="center" wrapText="1"/>
    </xf>
    <xf numFmtId="0" fontId="30" fillId="0" borderId="6" xfId="26" applyFont="1" applyBorder="1" applyAlignment="1">
      <alignment vertical="center" wrapText="1"/>
    </xf>
    <xf numFmtId="0" fontId="30" fillId="16" borderId="9" xfId="26" applyFont="1" applyFill="1" applyBorder="1" applyAlignment="1">
      <alignment horizontal="justify" vertical="center" wrapText="1"/>
    </xf>
    <xf numFmtId="0" fontId="30" fillId="16" borderId="10" xfId="26" applyFont="1" applyFill="1" applyBorder="1" applyAlignment="1">
      <alignment horizontal="justify" vertical="center"/>
    </xf>
    <xf numFmtId="0" fontId="20" fillId="16" borderId="10" xfId="26" applyFont="1" applyFill="1" applyBorder="1" applyAlignment="1">
      <alignment vertical="center"/>
    </xf>
    <xf numFmtId="43" fontId="30" fillId="16" borderId="10" xfId="9" applyFont="1" applyFill="1" applyBorder="1" applyAlignment="1">
      <alignment horizontal="center" vertical="center"/>
    </xf>
    <xf numFmtId="43" fontId="20" fillId="16" borderId="10" xfId="9" applyFont="1" applyFill="1" applyBorder="1" applyAlignment="1">
      <alignment vertical="center"/>
    </xf>
    <xf numFmtId="1" fontId="30" fillId="16" borderId="10" xfId="26" applyNumberFormat="1" applyFont="1" applyFill="1" applyBorder="1" applyAlignment="1">
      <alignment horizontal="center" vertical="center"/>
    </xf>
    <xf numFmtId="0" fontId="30" fillId="16" borderId="10" xfId="26" applyFont="1" applyFill="1" applyBorder="1" applyAlignment="1">
      <alignment horizontal="center" vertical="center"/>
    </xf>
    <xf numFmtId="0" fontId="20" fillId="0" borderId="8" xfId="26" applyFont="1" applyFill="1" applyBorder="1" applyAlignment="1">
      <alignment horizontal="center" vertical="center" wrapText="1"/>
    </xf>
    <xf numFmtId="0" fontId="20" fillId="7" borderId="8" xfId="26" applyFont="1" applyFill="1" applyBorder="1" applyAlignment="1">
      <alignment horizontal="justify" vertical="center" wrapText="1"/>
    </xf>
    <xf numFmtId="0" fontId="20" fillId="7" borderId="8" xfId="26" applyFont="1" applyFill="1" applyBorder="1" applyAlignment="1">
      <alignment horizontal="center" vertical="center" wrapText="1"/>
    </xf>
    <xf numFmtId="0" fontId="13" fillId="0" borderId="8" xfId="0" applyFont="1" applyBorder="1" applyAlignment="1">
      <alignment horizontal="center" vertical="center" wrapText="1"/>
    </xf>
    <xf numFmtId="9" fontId="33" fillId="28" borderId="8" xfId="11" applyFont="1" applyFill="1" applyBorder="1" applyAlignment="1">
      <alignment horizontal="center" vertical="center" wrapText="1"/>
    </xf>
    <xf numFmtId="0" fontId="13" fillId="7" borderId="8" xfId="26" applyFont="1" applyFill="1" applyBorder="1" applyAlignment="1">
      <alignment horizontal="center" vertical="center" wrapText="1"/>
    </xf>
    <xf numFmtId="0" fontId="13" fillId="7" borderId="15" xfId="0" applyFont="1" applyFill="1" applyBorder="1" applyAlignment="1">
      <alignment vertical="center" wrapText="1"/>
    </xf>
    <xf numFmtId="0" fontId="20" fillId="16" borderId="10" xfId="26" applyFont="1" applyFill="1" applyBorder="1" applyAlignment="1">
      <alignment horizontal="justify" vertical="center"/>
    </xf>
    <xf numFmtId="0" fontId="13" fillId="7" borderId="10" xfId="0" applyFont="1" applyFill="1" applyBorder="1" applyAlignment="1">
      <alignment vertical="center" wrapText="1"/>
    </xf>
    <xf numFmtId="0" fontId="30" fillId="7" borderId="3" xfId="26" applyFont="1" applyFill="1" applyBorder="1" applyAlignment="1">
      <alignment vertical="center" wrapText="1"/>
    </xf>
    <xf numFmtId="0" fontId="30" fillId="7" borderId="6" xfId="26" applyFont="1" applyFill="1" applyBorder="1" applyAlignment="1">
      <alignment vertical="center" wrapText="1"/>
    </xf>
    <xf numFmtId="43" fontId="8" fillId="0" borderId="9" xfId="9" applyFont="1" applyFill="1" applyBorder="1" applyAlignment="1">
      <alignment horizontal="center" vertical="center" wrapText="1"/>
    </xf>
    <xf numFmtId="0" fontId="20" fillId="7" borderId="1" xfId="26" applyFont="1" applyFill="1" applyBorder="1" applyAlignment="1">
      <alignment horizontal="center" vertical="center" wrapText="1"/>
    </xf>
    <xf numFmtId="0" fontId="30" fillId="7" borderId="0" xfId="26" applyFont="1" applyFill="1" applyBorder="1" applyAlignment="1">
      <alignment vertical="center" wrapText="1"/>
    </xf>
    <xf numFmtId="0" fontId="30" fillId="7" borderId="11" xfId="26" applyFont="1" applyFill="1" applyBorder="1" applyAlignment="1">
      <alignment vertical="center" wrapText="1"/>
    </xf>
    <xf numFmtId="0" fontId="30" fillId="7" borderId="2" xfId="26" applyFont="1" applyFill="1" applyBorder="1" applyAlignment="1">
      <alignment vertical="center" wrapText="1"/>
    </xf>
    <xf numFmtId="0" fontId="30" fillId="7" borderId="5" xfId="26" applyFont="1" applyFill="1" applyBorder="1" applyAlignment="1">
      <alignment vertical="center" wrapText="1"/>
    </xf>
    <xf numFmtId="0" fontId="30" fillId="16" borderId="10" xfId="26" applyFont="1" applyFill="1" applyBorder="1" applyAlignment="1">
      <alignment horizontal="justify" vertical="center" wrapText="1"/>
    </xf>
    <xf numFmtId="0" fontId="30" fillId="16" borderId="15" xfId="26" applyFont="1" applyFill="1" applyBorder="1" applyAlignment="1">
      <alignment vertical="center"/>
    </xf>
    <xf numFmtId="0" fontId="20" fillId="7" borderId="1" xfId="26" applyFont="1" applyFill="1" applyBorder="1" applyAlignment="1">
      <alignment horizontal="justify" vertical="center" wrapText="1"/>
    </xf>
    <xf numFmtId="43" fontId="8" fillId="7" borderId="9" xfId="9" applyFont="1" applyFill="1" applyBorder="1" applyAlignment="1">
      <alignment horizontal="center" vertical="center" wrapText="1"/>
    </xf>
    <xf numFmtId="49" fontId="20" fillId="0" borderId="1" xfId="27" applyNumberFormat="1" applyFont="1" applyFill="1" applyBorder="1" applyAlignment="1">
      <alignment horizontal="justify" vertical="top" wrapText="1"/>
    </xf>
    <xf numFmtId="0" fontId="30" fillId="16" borderId="3" xfId="26" applyFont="1" applyFill="1" applyBorder="1" applyAlignment="1">
      <alignment horizontal="justify" vertical="center" wrapText="1"/>
    </xf>
    <xf numFmtId="0" fontId="30" fillId="16" borderId="3" xfId="26" applyFont="1" applyFill="1" applyBorder="1" applyAlignment="1">
      <alignment vertical="center"/>
    </xf>
    <xf numFmtId="0" fontId="20" fillId="16" borderId="10" xfId="26" applyFont="1" applyFill="1" applyBorder="1" applyAlignment="1">
      <alignment horizontal="center" vertical="center"/>
    </xf>
    <xf numFmtId="0" fontId="30" fillId="16" borderId="15" xfId="26" applyFont="1" applyFill="1" applyBorder="1" applyAlignment="1">
      <alignment horizontal="center" vertical="center"/>
    </xf>
    <xf numFmtId="0" fontId="8" fillId="7" borderId="3" xfId="26" applyFont="1" applyFill="1" applyBorder="1" applyAlignment="1">
      <alignment vertical="center" wrapText="1"/>
    </xf>
    <xf numFmtId="0" fontId="8" fillId="7" borderId="6" xfId="26" applyFont="1" applyFill="1" applyBorder="1" applyAlignment="1">
      <alignment vertical="center" wrapText="1"/>
    </xf>
    <xf numFmtId="1" fontId="8" fillId="7" borderId="1" xfId="26" applyNumberFormat="1" applyFont="1" applyFill="1" applyBorder="1" applyAlignment="1">
      <alignment horizontal="center" vertical="center" wrapText="1"/>
    </xf>
    <xf numFmtId="0" fontId="8" fillId="7" borderId="1" xfId="26" applyFont="1" applyFill="1" applyBorder="1" applyAlignment="1">
      <alignment horizontal="center" vertical="center" wrapText="1"/>
    </xf>
    <xf numFmtId="0" fontId="8" fillId="7" borderId="0" xfId="26" applyFont="1" applyFill="1" applyBorder="1" applyAlignment="1">
      <alignment vertical="center" wrapText="1"/>
    </xf>
    <xf numFmtId="0" fontId="8" fillId="7" borderId="11" xfId="26" applyFont="1" applyFill="1" applyBorder="1" applyAlignment="1">
      <alignment vertical="center" wrapText="1"/>
    </xf>
    <xf numFmtId="0" fontId="12" fillId="0" borderId="12" xfId="0" applyFont="1" applyBorder="1" applyAlignment="1">
      <alignment vertical="center"/>
    </xf>
    <xf numFmtId="0" fontId="12" fillId="0" borderId="0" xfId="0" applyFont="1" applyBorder="1" applyAlignment="1">
      <alignment vertical="center"/>
    </xf>
    <xf numFmtId="0" fontId="12" fillId="0" borderId="11" xfId="0" applyFont="1" applyBorder="1" applyAlignment="1">
      <alignment vertical="center"/>
    </xf>
    <xf numFmtId="0" fontId="26" fillId="0" borderId="11" xfId="0" applyFont="1" applyBorder="1" applyAlignment="1">
      <alignment vertical="center"/>
    </xf>
    <xf numFmtId="0" fontId="26" fillId="0" borderId="0" xfId="0" applyFont="1" applyBorder="1" applyAlignment="1">
      <alignment vertical="center"/>
    </xf>
    <xf numFmtId="0" fontId="13" fillId="0" borderId="12" xfId="0" applyFont="1" applyBorder="1"/>
    <xf numFmtId="0" fontId="13" fillId="0" borderId="11" xfId="0" applyFont="1" applyBorder="1"/>
    <xf numFmtId="0" fontId="20" fillId="0" borderId="14" xfId="26" applyFont="1" applyFill="1" applyBorder="1" applyAlignment="1">
      <alignment horizontal="justify" vertical="center" wrapText="1"/>
    </xf>
    <xf numFmtId="43" fontId="8" fillId="0" borderId="14" xfId="9" applyFont="1" applyFill="1" applyBorder="1" applyAlignment="1">
      <alignment horizontal="center" vertical="center" wrapText="1"/>
    </xf>
    <xf numFmtId="0" fontId="20" fillId="0" borderId="1" xfId="26" applyFont="1" applyFill="1" applyBorder="1" applyAlignment="1">
      <alignment horizontal="justify" vertical="center" wrapText="1"/>
    </xf>
    <xf numFmtId="0" fontId="8" fillId="0" borderId="0" xfId="26" applyFont="1" applyFill="1" applyBorder="1" applyAlignment="1">
      <alignment vertical="center" wrapText="1"/>
    </xf>
    <xf numFmtId="0" fontId="8" fillId="0" borderId="11" xfId="26" applyFont="1" applyFill="1" applyBorder="1" applyAlignment="1">
      <alignment vertical="center" wrapText="1"/>
    </xf>
    <xf numFmtId="0" fontId="8" fillId="0" borderId="1" xfId="26" applyFont="1" applyFill="1" applyBorder="1" applyAlignment="1">
      <alignment horizontal="center" vertical="center"/>
    </xf>
    <xf numFmtId="0" fontId="8" fillId="0" borderId="1" xfId="26" applyFont="1" applyFill="1" applyBorder="1" applyAlignment="1">
      <alignment horizontal="center" vertical="center" wrapText="1"/>
    </xf>
    <xf numFmtId="1" fontId="8" fillId="0" borderId="1" xfId="26" applyNumberFormat="1" applyFont="1" applyFill="1" applyBorder="1" applyAlignment="1">
      <alignment horizontal="center" vertical="center" wrapText="1"/>
    </xf>
    <xf numFmtId="0" fontId="20" fillId="0" borderId="0" xfId="26" applyFont="1" applyBorder="1" applyAlignment="1">
      <alignment vertical="center" wrapText="1"/>
    </xf>
    <xf numFmtId="0" fontId="20" fillId="0" borderId="11" xfId="26" applyFont="1" applyBorder="1" applyAlignment="1">
      <alignment vertical="center" wrapText="1"/>
    </xf>
    <xf numFmtId="1" fontId="8" fillId="0" borderId="1" xfId="26" applyNumberFormat="1" applyFont="1" applyBorder="1" applyAlignment="1">
      <alignment horizontal="center" vertical="center" wrapText="1"/>
    </xf>
    <xf numFmtId="0" fontId="20" fillId="0" borderId="1" xfId="26" applyFont="1" applyBorder="1" applyAlignment="1">
      <alignment horizontal="center" vertical="center" wrapText="1"/>
    </xf>
    <xf numFmtId="0" fontId="20" fillId="7" borderId="13" xfId="26" applyFont="1" applyFill="1" applyBorder="1" applyAlignment="1">
      <alignment horizontal="justify" vertical="center" wrapText="1"/>
    </xf>
    <xf numFmtId="0" fontId="20" fillId="0" borderId="13" xfId="26" applyFont="1" applyBorder="1" applyAlignment="1">
      <alignment horizontal="justify" vertical="center" wrapText="1"/>
    </xf>
    <xf numFmtId="0" fontId="20" fillId="0" borderId="8" xfId="26" applyFont="1" applyBorder="1" applyAlignment="1">
      <alignment horizontal="center" vertical="center" wrapText="1"/>
    </xf>
    <xf numFmtId="43" fontId="20" fillId="0" borderId="4" xfId="9" applyFont="1" applyFill="1" applyBorder="1" applyAlignment="1">
      <alignment horizontal="center" vertical="center" wrapText="1"/>
    </xf>
    <xf numFmtId="0" fontId="20" fillId="0" borderId="13" xfId="26" applyFont="1" applyBorder="1" applyAlignment="1">
      <alignment horizontal="center" vertical="center" wrapText="1"/>
    </xf>
    <xf numFmtId="0" fontId="20" fillId="0" borderId="1" xfId="26" applyFont="1" applyBorder="1" applyAlignment="1">
      <alignment horizontal="center" vertical="top" wrapText="1"/>
    </xf>
    <xf numFmtId="43" fontId="20" fillId="0" borderId="1" xfId="9" applyFont="1" applyFill="1" applyBorder="1" applyAlignment="1">
      <alignment horizontal="center" vertical="center" wrapText="1"/>
    </xf>
    <xf numFmtId="43" fontId="20" fillId="0" borderId="14" xfId="9" applyFont="1" applyFill="1" applyBorder="1" applyAlignment="1">
      <alignment horizontal="center" vertical="center" wrapText="1"/>
    </xf>
    <xf numFmtId="0" fontId="20" fillId="0" borderId="8" xfId="26" applyFont="1" applyFill="1" applyBorder="1" applyAlignment="1">
      <alignment horizontal="justify" vertical="center" wrapText="1"/>
    </xf>
    <xf numFmtId="0" fontId="16" fillId="0" borderId="1" xfId="0" applyFont="1" applyBorder="1" applyAlignment="1">
      <alignment horizontal="center" vertical="center"/>
    </xf>
    <xf numFmtId="9" fontId="16" fillId="0" borderId="1" xfId="4" applyFont="1" applyBorder="1" applyAlignment="1">
      <alignment horizontal="center" vertical="center"/>
    </xf>
    <xf numFmtId="164" fontId="30" fillId="16" borderId="10" xfId="26" applyNumberFormat="1" applyFont="1" applyFill="1" applyBorder="1" applyAlignment="1">
      <alignment vertical="center"/>
    </xf>
    <xf numFmtId="0" fontId="30" fillId="0" borderId="12" xfId="26" applyFont="1" applyFill="1" applyBorder="1" applyAlignment="1">
      <alignment vertical="center"/>
    </xf>
    <xf numFmtId="0" fontId="20" fillId="0" borderId="1" xfId="26" applyFont="1" applyFill="1" applyBorder="1" applyAlignment="1">
      <alignment horizontal="center" vertical="center" wrapText="1"/>
    </xf>
    <xf numFmtId="0" fontId="20" fillId="7" borderId="14" xfId="26" applyFont="1" applyFill="1" applyBorder="1" applyAlignment="1">
      <alignment horizontal="center" vertical="center" wrapText="1"/>
    </xf>
    <xf numFmtId="164" fontId="30" fillId="16" borderId="10" xfId="26" applyNumberFormat="1" applyFont="1" applyFill="1" applyBorder="1" applyAlignment="1">
      <alignment horizontal="justify" vertical="center"/>
    </xf>
    <xf numFmtId="0" fontId="30" fillId="16" borderId="15" xfId="26" applyFont="1" applyFill="1" applyBorder="1" applyAlignment="1">
      <alignment horizontal="justify" vertical="center"/>
    </xf>
    <xf numFmtId="43" fontId="8" fillId="0" borderId="9" xfId="1" applyFont="1" applyFill="1" applyBorder="1" applyAlignment="1">
      <alignment horizontal="center" vertical="center" wrapText="1"/>
    </xf>
    <xf numFmtId="0" fontId="13" fillId="0" borderId="2" xfId="0" applyFont="1" applyBorder="1"/>
    <xf numFmtId="0" fontId="13" fillId="0" borderId="5" xfId="0" applyFont="1" applyBorder="1"/>
    <xf numFmtId="0" fontId="30" fillId="11" borderId="2" xfId="26" applyFont="1" applyFill="1" applyBorder="1" applyAlignment="1">
      <alignment vertical="center"/>
    </xf>
    <xf numFmtId="0" fontId="30" fillId="11" borderId="2" xfId="26" applyFont="1" applyFill="1" applyBorder="1" applyAlignment="1">
      <alignment horizontal="justify" vertical="center"/>
    </xf>
    <xf numFmtId="0" fontId="20" fillId="11" borderId="2" xfId="26" applyFont="1" applyFill="1" applyBorder="1" applyAlignment="1">
      <alignment vertical="center"/>
    </xf>
    <xf numFmtId="43" fontId="30" fillId="11" borderId="2" xfId="9" applyFont="1" applyFill="1" applyBorder="1" applyAlignment="1">
      <alignment horizontal="center" vertical="center"/>
    </xf>
    <xf numFmtId="43" fontId="20" fillId="11" borderId="2" xfId="9" applyFont="1" applyFill="1" applyBorder="1" applyAlignment="1">
      <alignment vertical="center"/>
    </xf>
    <xf numFmtId="1" fontId="30" fillId="11" borderId="2" xfId="26" applyNumberFormat="1" applyFont="1" applyFill="1" applyBorder="1" applyAlignment="1">
      <alignment horizontal="center" vertical="center"/>
    </xf>
    <xf numFmtId="0" fontId="30" fillId="11" borderId="2" xfId="26" applyFont="1" applyFill="1" applyBorder="1" applyAlignment="1">
      <alignment horizontal="center" vertical="center"/>
    </xf>
    <xf numFmtId="164" fontId="30" fillId="11" borderId="2" xfId="26" applyNumberFormat="1" applyFont="1" applyFill="1" applyBorder="1" applyAlignment="1">
      <alignment horizontal="justify" vertical="center"/>
    </xf>
    <xf numFmtId="0" fontId="30" fillId="11" borderId="15" xfId="26" applyFont="1" applyFill="1" applyBorder="1" applyAlignment="1">
      <alignment horizontal="justify" vertical="center"/>
    </xf>
    <xf numFmtId="0" fontId="13" fillId="0" borderId="3" xfId="0" applyFont="1" applyBorder="1"/>
    <xf numFmtId="0" fontId="13" fillId="0" borderId="6" xfId="0" applyFont="1" applyBorder="1"/>
    <xf numFmtId="0" fontId="30" fillId="16" borderId="2" xfId="26" applyFont="1" applyFill="1" applyBorder="1" applyAlignment="1">
      <alignment vertical="center"/>
    </xf>
    <xf numFmtId="0" fontId="20" fillId="0" borderId="1" xfId="26" quotePrefix="1" applyFont="1" applyFill="1" applyBorder="1" applyAlignment="1">
      <alignment horizontal="justify" vertical="center" wrapText="1"/>
    </xf>
    <xf numFmtId="1" fontId="20" fillId="0" borderId="1" xfId="26" quotePrefix="1" applyNumberFormat="1" applyFont="1" applyFill="1" applyBorder="1" applyAlignment="1">
      <alignment horizontal="center" vertical="center" wrapText="1"/>
    </xf>
    <xf numFmtId="0" fontId="20" fillId="0" borderId="9" xfId="26" applyFont="1" applyFill="1" applyBorder="1" applyAlignment="1">
      <alignment horizontal="center" vertical="center" wrapText="1"/>
    </xf>
    <xf numFmtId="1" fontId="20" fillId="0" borderId="8" xfId="26" quotePrefix="1" applyNumberFormat="1" applyFont="1" applyFill="1" applyBorder="1" applyAlignment="1">
      <alignment horizontal="center" vertical="center" wrapText="1"/>
    </xf>
    <xf numFmtId="164" fontId="13" fillId="0" borderId="1" xfId="0" applyNumberFormat="1" applyFont="1" applyBorder="1" applyAlignment="1">
      <alignment vertical="center"/>
    </xf>
    <xf numFmtId="0" fontId="13" fillId="0" borderId="1" xfId="0" applyFont="1" applyBorder="1" applyAlignment="1">
      <alignment vertical="center" wrapText="1"/>
    </xf>
    <xf numFmtId="0" fontId="20" fillId="0" borderId="10" xfId="26" applyFont="1" applyFill="1" applyBorder="1" applyAlignment="1">
      <alignment horizontal="center" vertical="center" wrapText="1"/>
    </xf>
    <xf numFmtId="164" fontId="13" fillId="0" borderId="10" xfId="0" applyNumberFormat="1" applyFont="1" applyBorder="1" applyAlignment="1">
      <alignment vertical="center"/>
    </xf>
    <xf numFmtId="0" fontId="13" fillId="0" borderId="15" xfId="0" applyFont="1" applyBorder="1" applyAlignment="1">
      <alignment vertical="center" wrapText="1"/>
    </xf>
    <xf numFmtId="0" fontId="20" fillId="0" borderId="15" xfId="26" quotePrefix="1" applyFont="1" applyFill="1" applyBorder="1" applyAlignment="1">
      <alignment horizontal="justify" vertical="center" wrapText="1"/>
    </xf>
    <xf numFmtId="3" fontId="30" fillId="11" borderId="10" xfId="26" applyNumberFormat="1" applyFont="1" applyFill="1" applyBorder="1" applyAlignment="1">
      <alignment horizontal="justify" vertical="center" wrapText="1"/>
    </xf>
    <xf numFmtId="43" fontId="30" fillId="11" borderId="10" xfId="9" applyFont="1" applyFill="1" applyBorder="1" applyAlignment="1">
      <alignment horizontal="justify" vertical="center"/>
    </xf>
    <xf numFmtId="164" fontId="30" fillId="11" borderId="10" xfId="9" applyNumberFormat="1" applyFont="1" applyFill="1" applyBorder="1" applyAlignment="1">
      <alignment horizontal="center" vertical="center"/>
    </xf>
    <xf numFmtId="0" fontId="30" fillId="16" borderId="7" xfId="26" applyFont="1" applyFill="1" applyBorder="1" applyAlignment="1">
      <alignment horizontal="justify" vertical="center" wrapText="1"/>
    </xf>
    <xf numFmtId="0" fontId="30" fillId="16" borderId="3" xfId="26" applyFont="1" applyFill="1" applyBorder="1" applyAlignment="1">
      <alignment horizontal="justify" vertical="center"/>
    </xf>
    <xf numFmtId="0" fontId="20" fillId="16" borderId="3" xfId="26" applyFont="1" applyFill="1" applyBorder="1" applyAlignment="1">
      <alignment vertical="center"/>
    </xf>
    <xf numFmtId="0" fontId="30" fillId="16" borderId="3" xfId="26" applyFont="1" applyFill="1" applyBorder="1" applyAlignment="1">
      <alignment horizontal="center" vertical="center"/>
    </xf>
    <xf numFmtId="164" fontId="30" fillId="16" borderId="3" xfId="26" applyNumberFormat="1" applyFont="1" applyFill="1" applyBorder="1" applyAlignment="1">
      <alignment vertical="center"/>
    </xf>
    <xf numFmtId="0" fontId="20" fillId="0" borderId="8" xfId="26" applyFont="1" applyBorder="1" applyAlignment="1">
      <alignment horizontal="center" vertical="center"/>
    </xf>
    <xf numFmtId="9" fontId="20" fillId="7" borderId="8" xfId="11" applyFont="1" applyFill="1" applyBorder="1" applyAlignment="1">
      <alignment horizontal="center" vertical="center" wrapText="1"/>
    </xf>
    <xf numFmtId="0" fontId="20" fillId="0" borderId="1" xfId="26" quotePrefix="1" applyFont="1" applyFill="1" applyBorder="1" applyAlignment="1">
      <alignment horizontal="left" vertical="center" wrapText="1"/>
    </xf>
    <xf numFmtId="1" fontId="20" fillId="7" borderId="8" xfId="26" quotePrefix="1" applyNumberFormat="1" applyFont="1" applyFill="1" applyBorder="1" applyAlignment="1">
      <alignment vertical="center" wrapText="1"/>
    </xf>
    <xf numFmtId="188" fontId="4" fillId="0" borderId="1" xfId="0" applyNumberFormat="1" applyFont="1" applyFill="1" applyBorder="1" applyAlignment="1">
      <alignment horizontal="right" vertical="center"/>
    </xf>
    <xf numFmtId="1" fontId="20" fillId="7" borderId="1" xfId="26" quotePrefix="1" applyNumberFormat="1" applyFont="1" applyFill="1" applyBorder="1" applyAlignment="1">
      <alignment horizontal="center" vertical="center" wrapText="1"/>
    </xf>
    <xf numFmtId="0" fontId="30" fillId="0" borderId="0" xfId="26" applyFont="1" applyAlignment="1">
      <alignment vertical="center" wrapText="1"/>
    </xf>
    <xf numFmtId="0" fontId="20" fillId="0" borderId="1" xfId="26" quotePrefix="1" applyFont="1" applyFill="1" applyBorder="1" applyAlignment="1">
      <alignment vertical="center" wrapText="1"/>
    </xf>
    <xf numFmtId="43" fontId="8" fillId="0" borderId="8" xfId="9" applyFont="1" applyFill="1" applyBorder="1" applyAlignment="1">
      <alignment vertical="center" wrapText="1"/>
    </xf>
    <xf numFmtId="1" fontId="20" fillId="7" borderId="1" xfId="26" quotePrefix="1" applyNumberFormat="1" applyFont="1" applyFill="1" applyBorder="1" applyAlignment="1">
      <alignment vertical="center" wrapText="1"/>
    </xf>
    <xf numFmtId="0" fontId="30" fillId="0" borderId="2" xfId="26" applyFont="1" applyBorder="1" applyAlignment="1">
      <alignment vertical="center" wrapText="1"/>
    </xf>
    <xf numFmtId="0" fontId="30" fillId="0" borderId="5" xfId="26" applyFont="1" applyBorder="1" applyAlignment="1">
      <alignment vertical="center" wrapText="1"/>
    </xf>
    <xf numFmtId="0" fontId="20" fillId="0" borderId="9" xfId="26" quotePrefix="1" applyFont="1" applyFill="1" applyBorder="1" applyAlignment="1">
      <alignment vertical="center" wrapText="1"/>
    </xf>
    <xf numFmtId="43" fontId="8" fillId="0" borderId="1" xfId="9" applyFont="1" applyFill="1" applyBorder="1" applyAlignment="1">
      <alignment vertical="center" wrapText="1"/>
    </xf>
    <xf numFmtId="0" fontId="30" fillId="16" borderId="0" xfId="26" applyFont="1" applyFill="1" applyAlignment="1">
      <alignment horizontal="justify" vertical="center" wrapText="1"/>
    </xf>
    <xf numFmtId="0" fontId="30" fillId="16" borderId="0" xfId="26" applyFont="1" applyFill="1" applyAlignment="1">
      <alignment vertical="center"/>
    </xf>
    <xf numFmtId="0" fontId="30" fillId="16" borderId="2" xfId="26" applyFont="1" applyFill="1" applyBorder="1" applyAlignment="1">
      <alignment horizontal="justify" vertical="center"/>
    </xf>
    <xf numFmtId="0" fontId="20" fillId="7" borderId="0" xfId="26" applyFont="1" applyFill="1" applyBorder="1" applyAlignment="1">
      <alignment horizontal="center" vertical="center" wrapText="1"/>
    </xf>
    <xf numFmtId="0" fontId="20" fillId="7" borderId="11" xfId="26" applyFont="1" applyFill="1" applyBorder="1" applyAlignment="1">
      <alignment horizontal="center" vertical="center" wrapText="1"/>
    </xf>
    <xf numFmtId="0" fontId="20" fillId="7" borderId="3" xfId="26" applyFont="1" applyFill="1" applyBorder="1" applyAlignment="1">
      <alignment horizontal="center" vertical="center" wrapText="1"/>
    </xf>
    <xf numFmtId="0" fontId="20" fillId="7" borderId="6" xfId="26" applyFont="1" applyFill="1" applyBorder="1" applyAlignment="1">
      <alignment horizontal="center" vertical="center" wrapText="1"/>
    </xf>
    <xf numFmtId="0" fontId="20" fillId="7" borderId="0" xfId="26" applyFont="1" applyFill="1" applyAlignment="1">
      <alignment horizontal="center" vertical="center" wrapText="1"/>
    </xf>
    <xf numFmtId="0" fontId="8" fillId="0" borderId="1" xfId="27" quotePrefix="1" applyFont="1" applyFill="1" applyBorder="1" applyAlignment="1">
      <alignment horizontal="justify" vertical="center" wrapText="1"/>
    </xf>
    <xf numFmtId="43" fontId="8" fillId="0" borderId="1" xfId="9" quotePrefix="1" applyFont="1" applyFill="1" applyBorder="1" applyAlignment="1">
      <alignment vertical="center" wrapText="1"/>
    </xf>
    <xf numFmtId="0" fontId="30" fillId="7" borderId="0" xfId="26" applyFont="1" applyFill="1" applyAlignment="1">
      <alignment vertical="center" wrapText="1"/>
    </xf>
    <xf numFmtId="0" fontId="20" fillId="7" borderId="8" xfId="26" applyFont="1" applyFill="1" applyBorder="1" applyAlignment="1">
      <alignment vertical="center" wrapText="1"/>
    </xf>
    <xf numFmtId="49" fontId="20" fillId="0" borderId="1" xfId="27" quotePrefix="1" applyNumberFormat="1" applyFont="1" applyFill="1" applyBorder="1" applyAlignment="1">
      <alignment horizontal="justify" vertical="center" wrapText="1"/>
    </xf>
    <xf numFmtId="49" fontId="8" fillId="0" borderId="8" xfId="27" quotePrefix="1" applyNumberFormat="1" applyFont="1" applyFill="1" applyBorder="1" applyAlignment="1">
      <alignment horizontal="justify" vertical="center" wrapText="1"/>
    </xf>
    <xf numFmtId="49" fontId="8" fillId="0" borderId="1" xfId="27" applyNumberFormat="1" applyFont="1" applyBorder="1" applyAlignment="1">
      <alignment horizontal="justify" vertical="center" wrapText="1"/>
    </xf>
    <xf numFmtId="0" fontId="20" fillId="7" borderId="2" xfId="26" applyFont="1" applyFill="1" applyBorder="1" applyAlignment="1">
      <alignment horizontal="center" vertical="center" wrapText="1"/>
    </xf>
    <xf numFmtId="0" fontId="20" fillId="7" borderId="5" xfId="26" applyFont="1" applyFill="1" applyBorder="1" applyAlignment="1">
      <alignment horizontal="center" vertical="center" wrapText="1"/>
    </xf>
    <xf numFmtId="0" fontId="20" fillId="0" borderId="13" xfId="26" applyFont="1" applyFill="1" applyBorder="1" applyAlignment="1">
      <alignment horizontal="center" vertical="center" wrapText="1"/>
    </xf>
    <xf numFmtId="0" fontId="20" fillId="7" borderId="14" xfId="26" applyFont="1" applyFill="1" applyBorder="1" applyAlignment="1">
      <alignment horizontal="justify" vertical="center" wrapText="1"/>
    </xf>
    <xf numFmtId="9" fontId="8" fillId="7" borderId="1" xfId="4" applyFont="1" applyFill="1" applyBorder="1" applyAlignment="1">
      <alignment horizontal="center" vertical="center" wrapText="1"/>
    </xf>
    <xf numFmtId="43" fontId="8" fillId="0" borderId="1" xfId="9" quotePrefix="1" applyFont="1" applyFill="1" applyBorder="1" applyAlignment="1">
      <alignment horizontal="center" vertical="center"/>
    </xf>
    <xf numFmtId="0" fontId="20" fillId="0" borderId="1" xfId="26" applyFont="1" applyBorder="1" applyAlignment="1">
      <alignment horizontal="justify" vertical="center" wrapText="1"/>
    </xf>
    <xf numFmtId="9" fontId="20" fillId="0" borderId="1" xfId="11" applyFont="1" applyBorder="1" applyAlignment="1">
      <alignment horizontal="center" vertical="center" wrapText="1"/>
    </xf>
    <xf numFmtId="0" fontId="20" fillId="0" borderId="8" xfId="26" applyFont="1" applyBorder="1" applyAlignment="1">
      <alignment horizontal="justify" vertical="center" wrapText="1"/>
    </xf>
    <xf numFmtId="3" fontId="30" fillId="11" borderId="3" xfId="26" applyNumberFormat="1" applyFont="1" applyFill="1" applyBorder="1" applyAlignment="1">
      <alignment horizontal="justify" vertical="center" wrapText="1"/>
    </xf>
    <xf numFmtId="43" fontId="30" fillId="11" borderId="15" xfId="9" applyFont="1" applyFill="1" applyBorder="1" applyAlignment="1">
      <alignment horizontal="center" vertical="center"/>
    </xf>
    <xf numFmtId="0" fontId="30" fillId="16" borderId="15" xfId="26" applyFont="1" applyFill="1" applyBorder="1" applyAlignment="1">
      <alignment horizontal="justify" vertical="center" wrapText="1"/>
    </xf>
    <xf numFmtId="0" fontId="30" fillId="16" borderId="2" xfId="26" applyFont="1" applyFill="1" applyBorder="1" applyAlignment="1">
      <alignment horizontal="center" vertical="center"/>
    </xf>
    <xf numFmtId="0" fontId="30" fillId="7" borderId="7" xfId="26" applyFont="1" applyFill="1" applyBorder="1" applyAlignment="1">
      <alignment vertical="center" wrapText="1"/>
    </xf>
    <xf numFmtId="9" fontId="20" fillId="7" borderId="1" xfId="11" applyFont="1" applyFill="1" applyBorder="1" applyAlignment="1">
      <alignment horizontal="center" vertical="center" wrapText="1"/>
    </xf>
    <xf numFmtId="43" fontId="20" fillId="0" borderId="1" xfId="9" applyFont="1" applyFill="1" applyBorder="1" applyAlignment="1">
      <alignment vertical="center"/>
    </xf>
    <xf numFmtId="1" fontId="20" fillId="7" borderId="1" xfId="26" applyNumberFormat="1" applyFont="1" applyFill="1" applyBorder="1" applyAlignment="1">
      <alignment horizontal="center" vertical="center"/>
    </xf>
    <xf numFmtId="0" fontId="30" fillId="7" borderId="12" xfId="26" applyFont="1" applyFill="1" applyBorder="1" applyAlignment="1">
      <alignment vertical="center" wrapText="1"/>
    </xf>
    <xf numFmtId="49" fontId="8" fillId="7" borderId="1" xfId="27" applyNumberFormat="1" applyFont="1" applyFill="1" applyBorder="1" applyAlignment="1">
      <alignment horizontal="justify" vertical="center" wrapText="1"/>
    </xf>
    <xf numFmtId="0" fontId="8" fillId="7" borderId="1" xfId="27" applyFont="1" applyFill="1" applyBorder="1" applyAlignment="1">
      <alignment horizontal="justify" vertical="center" wrapText="1"/>
    </xf>
    <xf numFmtId="0" fontId="8" fillId="7" borderId="8" xfId="27" applyFont="1" applyFill="1" applyBorder="1" applyAlignment="1">
      <alignment horizontal="justify" vertical="center" wrapText="1"/>
    </xf>
    <xf numFmtId="43" fontId="8" fillId="0" borderId="8" xfId="9" applyFont="1" applyFill="1" applyBorder="1" applyAlignment="1">
      <alignment horizontal="center" vertical="center" wrapText="1"/>
    </xf>
    <xf numFmtId="1" fontId="20" fillId="7" borderId="8" xfId="26" applyNumberFormat="1" applyFont="1" applyFill="1" applyBorder="1" applyAlignment="1">
      <alignment horizontal="center" vertical="center"/>
    </xf>
    <xf numFmtId="0" fontId="12" fillId="0" borderId="4" xfId="0" applyFont="1" applyBorder="1"/>
    <xf numFmtId="0" fontId="12" fillId="0" borderId="2" xfId="0" applyFont="1" applyBorder="1"/>
    <xf numFmtId="0" fontId="12" fillId="0" borderId="5" xfId="0" applyFont="1" applyBorder="1"/>
    <xf numFmtId="43" fontId="12" fillId="0" borderId="1" xfId="0" applyNumberFormat="1" applyFont="1" applyBorder="1"/>
    <xf numFmtId="0" fontId="12" fillId="0" borderId="1" xfId="0" applyFont="1" applyBorder="1" applyAlignment="1">
      <alignment horizontal="justify"/>
    </xf>
    <xf numFmtId="0" fontId="12" fillId="0" borderId="1" xfId="0" applyFont="1" applyBorder="1" applyAlignment="1">
      <alignment horizontal="center"/>
    </xf>
    <xf numFmtId="0" fontId="13" fillId="0" borderId="0" xfId="0" applyFont="1" applyAlignment="1">
      <alignment horizontal="justify"/>
    </xf>
    <xf numFmtId="0" fontId="13" fillId="0" borderId="0" xfId="0" applyFont="1" applyAlignment="1">
      <alignment horizontal="center"/>
    </xf>
    <xf numFmtId="0" fontId="36" fillId="0" borderId="23" xfId="0" applyFont="1" applyBorder="1"/>
    <xf numFmtId="0" fontId="36" fillId="0" borderId="27" xfId="0" applyFont="1" applyBorder="1" applyAlignment="1">
      <alignment horizontal="right"/>
    </xf>
    <xf numFmtId="168" fontId="36" fillId="0" borderId="17" xfId="0" applyNumberFormat="1" applyFont="1" applyBorder="1" applyAlignment="1">
      <alignment horizontal="right"/>
    </xf>
    <xf numFmtId="17" fontId="36" fillId="0" borderId="17" xfId="0" applyNumberFormat="1" applyFont="1" applyBorder="1" applyAlignment="1">
      <alignment horizontal="right"/>
    </xf>
    <xf numFmtId="3" fontId="3" fillId="5" borderId="17" xfId="0" applyNumberFormat="1" applyFont="1" applyFill="1" applyBorder="1" applyAlignment="1">
      <alignment horizontal="right" vertical="center" wrapText="1"/>
    </xf>
    <xf numFmtId="0" fontId="30" fillId="0" borderId="4" xfId="0" applyFont="1" applyBorder="1" applyAlignment="1">
      <alignment vertical="center"/>
    </xf>
    <xf numFmtId="43" fontId="20" fillId="0" borderId="2" xfId="1" applyFont="1" applyBorder="1" applyAlignment="1">
      <alignment vertical="center"/>
    </xf>
    <xf numFmtId="167" fontId="30" fillId="0" borderId="2" xfId="1" applyNumberFormat="1" applyFont="1" applyBorder="1" applyAlignment="1">
      <alignment horizontal="center" vertical="center"/>
    </xf>
    <xf numFmtId="14" fontId="30" fillId="0" borderId="2" xfId="0" applyNumberFormat="1" applyFont="1" applyBorder="1" applyAlignment="1">
      <alignment vertical="center"/>
    </xf>
    <xf numFmtId="0" fontId="20" fillId="0" borderId="42" xfId="0" applyFont="1" applyBorder="1" applyAlignment="1">
      <alignment vertical="center"/>
    </xf>
    <xf numFmtId="0" fontId="9" fillId="7" borderId="0" xfId="0" applyFont="1" applyFill="1" applyAlignment="1">
      <alignment horizontal="center"/>
    </xf>
    <xf numFmtId="0" fontId="9" fillId="0" borderId="0" xfId="0" applyFont="1" applyAlignment="1">
      <alignment horizontal="center"/>
    </xf>
    <xf numFmtId="0" fontId="36" fillId="8" borderId="9" xfId="0" applyFont="1" applyFill="1" applyBorder="1" applyAlignment="1">
      <alignment horizontal="center" vertical="center" textRotation="90" wrapText="1"/>
    </xf>
    <xf numFmtId="0" fontId="23" fillId="8" borderId="9" xfId="0" applyFont="1" applyFill="1" applyBorder="1" applyAlignment="1">
      <alignment horizontal="center" vertical="center" textRotation="90" wrapText="1"/>
    </xf>
    <xf numFmtId="167" fontId="20" fillId="8" borderId="8" xfId="1" applyNumberFormat="1" applyFont="1" applyFill="1" applyBorder="1" applyAlignment="1">
      <alignment horizontal="center" vertical="center" wrapText="1"/>
    </xf>
    <xf numFmtId="0" fontId="20" fillId="8" borderId="8" xfId="0" applyFont="1" applyFill="1" applyBorder="1" applyAlignment="1">
      <alignment horizontal="center" vertical="center" wrapText="1"/>
    </xf>
    <xf numFmtId="14" fontId="20" fillId="8" borderId="8" xfId="0" applyNumberFormat="1" applyFont="1" applyFill="1" applyBorder="1" applyAlignment="1">
      <alignment horizontal="center" vertical="center" wrapText="1"/>
    </xf>
    <xf numFmtId="0" fontId="20" fillId="0" borderId="0" xfId="0" applyFont="1" applyAlignment="1">
      <alignment horizontal="center"/>
    </xf>
    <xf numFmtId="1" fontId="30" fillId="10" borderId="30" xfId="0" applyNumberFormat="1" applyFont="1" applyFill="1" applyBorder="1" applyAlignment="1">
      <alignment horizontal="center" vertical="center" wrapText="1"/>
    </xf>
    <xf numFmtId="0" fontId="30" fillId="10" borderId="10" xfId="0" applyFont="1" applyFill="1" applyBorder="1" applyAlignment="1">
      <alignment vertical="center"/>
    </xf>
    <xf numFmtId="0" fontId="30" fillId="10" borderId="10" xfId="0" applyFont="1" applyFill="1" applyBorder="1" applyAlignment="1">
      <alignment horizontal="left" vertical="center"/>
    </xf>
    <xf numFmtId="0" fontId="30" fillId="10" borderId="10" xfId="0" applyFont="1" applyFill="1" applyBorder="1" applyAlignment="1">
      <alignment horizontal="justify" vertical="center"/>
    </xf>
    <xf numFmtId="0" fontId="20" fillId="10" borderId="10" xfId="0" applyFont="1" applyFill="1" applyBorder="1" applyAlignment="1">
      <alignment horizontal="center" vertical="center"/>
    </xf>
    <xf numFmtId="169" fontId="30" fillId="10" borderId="10" xfId="0" applyNumberFormat="1" applyFont="1" applyFill="1" applyBorder="1" applyAlignment="1">
      <alignment horizontal="center" vertical="center"/>
    </xf>
    <xf numFmtId="43" fontId="20" fillId="10" borderId="10" xfId="1" applyFont="1" applyFill="1" applyBorder="1" applyAlignment="1">
      <alignment vertical="center"/>
    </xf>
    <xf numFmtId="165" fontId="30" fillId="10" borderId="10" xfId="0" applyNumberFormat="1" applyFont="1" applyFill="1" applyBorder="1" applyAlignment="1">
      <alignment horizontal="center" vertical="center"/>
    </xf>
    <xf numFmtId="1" fontId="30" fillId="10" borderId="10" xfId="0" applyNumberFormat="1" applyFont="1" applyFill="1" applyBorder="1" applyAlignment="1">
      <alignment horizontal="center" vertical="center"/>
    </xf>
    <xf numFmtId="0" fontId="30" fillId="10" borderId="10" xfId="0" applyFont="1" applyFill="1" applyBorder="1" applyAlignment="1">
      <alignment horizontal="center" vertical="center"/>
    </xf>
    <xf numFmtId="167" fontId="20" fillId="10" borderId="10" xfId="1" applyNumberFormat="1" applyFont="1" applyFill="1" applyBorder="1" applyAlignment="1">
      <alignment vertical="center"/>
    </xf>
    <xf numFmtId="167" fontId="30" fillId="10" borderId="10" xfId="1" applyNumberFormat="1" applyFont="1" applyFill="1" applyBorder="1" applyAlignment="1">
      <alignment vertical="center"/>
    </xf>
    <xf numFmtId="14" fontId="30" fillId="10" borderId="10" xfId="0" applyNumberFormat="1" applyFont="1" applyFill="1" applyBorder="1" applyAlignment="1">
      <alignment vertical="center"/>
    </xf>
    <xf numFmtId="0" fontId="20" fillId="10" borderId="31" xfId="0" applyFont="1" applyFill="1" applyBorder="1" applyAlignment="1">
      <alignment horizontal="justify" vertical="center"/>
    </xf>
    <xf numFmtId="1" fontId="30" fillId="11" borderId="15" xfId="0" applyNumberFormat="1" applyFont="1" applyFill="1" applyBorder="1" applyAlignment="1">
      <alignment horizontal="center" vertical="center"/>
    </xf>
    <xf numFmtId="0" fontId="30" fillId="11" borderId="2" xfId="0" applyFont="1" applyFill="1" applyBorder="1" applyAlignment="1">
      <alignment vertical="center"/>
    </xf>
    <xf numFmtId="0" fontId="30" fillId="11" borderId="2" xfId="0" applyFont="1" applyFill="1" applyBorder="1" applyAlignment="1">
      <alignment horizontal="justify" vertical="center"/>
    </xf>
    <xf numFmtId="0" fontId="20" fillId="11" borderId="2" xfId="0" applyFont="1" applyFill="1" applyBorder="1" applyAlignment="1">
      <alignment horizontal="center" vertical="center"/>
    </xf>
    <xf numFmtId="169" fontId="30" fillId="11" borderId="2" xfId="0" applyNumberFormat="1" applyFont="1" applyFill="1" applyBorder="1" applyAlignment="1">
      <alignment horizontal="center" vertical="center"/>
    </xf>
    <xf numFmtId="43" fontId="20" fillId="11" borderId="2" xfId="1" applyFont="1" applyFill="1" applyBorder="1" applyAlignment="1">
      <alignment vertical="center"/>
    </xf>
    <xf numFmtId="165" fontId="30" fillId="11" borderId="2" xfId="0" applyNumberFormat="1" applyFont="1" applyFill="1" applyBorder="1" applyAlignment="1">
      <alignment horizontal="center" vertical="center"/>
    </xf>
    <xf numFmtId="1" fontId="30" fillId="11" borderId="2" xfId="0" applyNumberFormat="1" applyFont="1" applyFill="1" applyBorder="1" applyAlignment="1">
      <alignment horizontal="center" vertical="center"/>
    </xf>
    <xf numFmtId="0" fontId="30" fillId="11" borderId="2" xfId="0" applyFont="1" applyFill="1" applyBorder="1" applyAlignment="1">
      <alignment horizontal="center" vertical="center"/>
    </xf>
    <xf numFmtId="167" fontId="20" fillId="11" borderId="2" xfId="1" applyNumberFormat="1" applyFont="1" applyFill="1" applyBorder="1" applyAlignment="1">
      <alignment vertical="center"/>
    </xf>
    <xf numFmtId="167" fontId="30" fillId="11" borderId="2" xfId="1" applyNumberFormat="1" applyFont="1" applyFill="1" applyBorder="1" applyAlignment="1">
      <alignment vertical="center"/>
    </xf>
    <xf numFmtId="14" fontId="30" fillId="11" borderId="2" xfId="0" applyNumberFormat="1" applyFont="1" applyFill="1" applyBorder="1" applyAlignment="1">
      <alignment vertical="center"/>
    </xf>
    <xf numFmtId="0" fontId="20" fillId="11" borderId="42" xfId="0" applyFont="1" applyFill="1" applyBorder="1" applyAlignment="1">
      <alignment horizontal="justify" vertical="center"/>
    </xf>
    <xf numFmtId="0" fontId="30" fillId="12" borderId="10" xfId="0" applyFont="1" applyFill="1" applyBorder="1" applyAlignment="1">
      <alignment vertical="center"/>
    </xf>
    <xf numFmtId="0" fontId="30" fillId="12" borderId="10" xfId="0" applyFont="1" applyFill="1" applyBorder="1" applyAlignment="1">
      <alignment horizontal="justify" vertical="center"/>
    </xf>
    <xf numFmtId="0" fontId="30" fillId="12" borderId="3" xfId="0" applyFont="1" applyFill="1" applyBorder="1" applyAlignment="1">
      <alignment vertical="center"/>
    </xf>
    <xf numFmtId="0" fontId="20" fillId="12" borderId="10" xfId="0" applyFont="1" applyFill="1" applyBorder="1" applyAlignment="1">
      <alignment horizontal="center" vertical="center"/>
    </xf>
    <xf numFmtId="169" fontId="30" fillId="12" borderId="10" xfId="0" applyNumberFormat="1" applyFont="1" applyFill="1" applyBorder="1" applyAlignment="1">
      <alignment horizontal="center" vertical="center"/>
    </xf>
    <xf numFmtId="43" fontId="20" fillId="12" borderId="10" xfId="1" applyFont="1" applyFill="1" applyBorder="1" applyAlignment="1">
      <alignment vertical="center"/>
    </xf>
    <xf numFmtId="165" fontId="30" fillId="12" borderId="10" xfId="0" applyNumberFormat="1" applyFont="1" applyFill="1" applyBorder="1" applyAlignment="1">
      <alignment horizontal="center" vertical="center"/>
    </xf>
    <xf numFmtId="1" fontId="30" fillId="12" borderId="10" xfId="0" applyNumberFormat="1" applyFont="1" applyFill="1" applyBorder="1" applyAlignment="1">
      <alignment horizontal="center" vertical="center"/>
    </xf>
    <xf numFmtId="0" fontId="30" fillId="12" borderId="10" xfId="0" applyFont="1" applyFill="1" applyBorder="1" applyAlignment="1">
      <alignment horizontal="center" vertical="center"/>
    </xf>
    <xf numFmtId="167" fontId="20" fillId="12" borderId="10" xfId="1" applyNumberFormat="1" applyFont="1" applyFill="1" applyBorder="1" applyAlignment="1">
      <alignment vertical="center"/>
    </xf>
    <xf numFmtId="167" fontId="30" fillId="12" borderId="10" xfId="1" applyNumberFormat="1" applyFont="1" applyFill="1" applyBorder="1" applyAlignment="1">
      <alignment vertical="center"/>
    </xf>
    <xf numFmtId="14" fontId="30" fillId="12" borderId="10" xfId="0" applyNumberFormat="1" applyFont="1" applyFill="1" applyBorder="1" applyAlignment="1">
      <alignment vertical="center"/>
    </xf>
    <xf numFmtId="0" fontId="20" fillId="12" borderId="31" xfId="0" applyFont="1" applyFill="1" applyBorder="1" applyAlignment="1">
      <alignment horizontal="justify" vertical="center"/>
    </xf>
    <xf numFmtId="43" fontId="20" fillId="0" borderId="1" xfId="1" applyFont="1" applyBorder="1" applyAlignment="1">
      <alignment vertical="center" wrapText="1"/>
    </xf>
    <xf numFmtId="1" fontId="20" fillId="7" borderId="8" xfId="0" applyNumberFormat="1" applyFont="1" applyFill="1" applyBorder="1" applyAlignment="1">
      <alignment horizontal="center" vertical="center" wrapText="1"/>
    </xf>
    <xf numFmtId="0" fontId="20" fillId="7" borderId="8" xfId="0" applyFont="1" applyFill="1" applyBorder="1" applyAlignment="1">
      <alignment horizontal="center" vertical="center" wrapText="1"/>
    </xf>
    <xf numFmtId="1" fontId="30" fillId="7" borderId="8" xfId="0" applyNumberFormat="1" applyFont="1" applyFill="1" applyBorder="1" applyAlignment="1">
      <alignment horizontal="center" vertical="center" wrapText="1"/>
    </xf>
    <xf numFmtId="43" fontId="20" fillId="0" borderId="9" xfId="1" applyFont="1" applyBorder="1" applyAlignment="1">
      <alignment vertical="center" wrapText="1"/>
    </xf>
    <xf numFmtId="0" fontId="20" fillId="7" borderId="37" xfId="0" applyFont="1" applyFill="1" applyBorder="1" applyAlignment="1">
      <alignment horizontal="center" vertical="center" wrapText="1"/>
    </xf>
    <xf numFmtId="1" fontId="30" fillId="7" borderId="13" xfId="0" applyNumberFormat="1" applyFont="1" applyFill="1" applyBorder="1" applyAlignment="1">
      <alignment horizontal="center" vertical="center" wrapText="1"/>
    </xf>
    <xf numFmtId="0" fontId="10" fillId="7" borderId="0" xfId="0" applyFont="1" applyFill="1"/>
    <xf numFmtId="1" fontId="30" fillId="7" borderId="14" xfId="0" applyNumberFormat="1" applyFont="1" applyFill="1" applyBorder="1" applyAlignment="1">
      <alignment horizontal="center" vertical="center" wrapText="1"/>
    </xf>
    <xf numFmtId="0" fontId="20" fillId="7" borderId="13" xfId="0" applyFont="1" applyFill="1" applyBorder="1" applyAlignment="1">
      <alignment horizontal="center" vertical="center" wrapText="1"/>
    </xf>
    <xf numFmtId="43" fontId="20" fillId="0" borderId="37" xfId="1" applyFont="1" applyBorder="1" applyAlignment="1">
      <alignment vertical="center" wrapText="1"/>
    </xf>
    <xf numFmtId="0" fontId="30" fillId="12" borderId="3" xfId="0" applyFont="1" applyFill="1" applyBorder="1" applyAlignment="1">
      <alignment horizontal="justify" vertical="center"/>
    </xf>
    <xf numFmtId="43" fontId="30" fillId="12" borderId="1" xfId="1" applyFont="1" applyFill="1" applyBorder="1" applyAlignment="1">
      <alignment horizontal="center" vertical="center"/>
    </xf>
    <xf numFmtId="1" fontId="30" fillId="12" borderId="3" xfId="0" applyNumberFormat="1" applyFont="1" applyFill="1" applyBorder="1" applyAlignment="1">
      <alignment horizontal="center" vertical="center"/>
    </xf>
    <xf numFmtId="0" fontId="30" fillId="12" borderId="3" xfId="0" applyFont="1" applyFill="1" applyBorder="1" applyAlignment="1">
      <alignment horizontal="center" vertical="center"/>
    </xf>
    <xf numFmtId="14" fontId="20" fillId="12" borderId="10" xfId="0" applyNumberFormat="1" applyFont="1" applyFill="1" applyBorder="1" applyAlignment="1">
      <alignment vertical="center"/>
    </xf>
    <xf numFmtId="0" fontId="20" fillId="12" borderId="31" xfId="0" applyFont="1" applyFill="1" applyBorder="1" applyAlignment="1">
      <alignment horizontal="justify" vertical="center" wrapText="1"/>
    </xf>
    <xf numFmtId="0" fontId="20" fillId="7" borderId="13" xfId="0" applyFont="1" applyFill="1" applyBorder="1" applyAlignment="1">
      <alignment horizontal="center" vertical="center"/>
    </xf>
    <xf numFmtId="43" fontId="30" fillId="12" borderId="13" xfId="1" applyFont="1" applyFill="1" applyBorder="1" applyAlignment="1">
      <alignment horizontal="center" vertical="center"/>
    </xf>
    <xf numFmtId="1" fontId="30" fillId="12" borderId="0" xfId="0" applyNumberFormat="1" applyFont="1" applyFill="1" applyAlignment="1">
      <alignment horizontal="center" vertical="center"/>
    </xf>
    <xf numFmtId="0" fontId="30" fillId="12" borderId="0" xfId="0" applyFont="1" applyFill="1" applyAlignment="1">
      <alignment horizontal="center" vertical="center"/>
    </xf>
    <xf numFmtId="0" fontId="20" fillId="7" borderId="14" xfId="0" applyFont="1" applyFill="1" applyBorder="1" applyAlignment="1">
      <alignment horizontal="center" vertical="center" wrapText="1"/>
    </xf>
    <xf numFmtId="14" fontId="20" fillId="11" borderId="2" xfId="0" applyNumberFormat="1" applyFont="1" applyFill="1" applyBorder="1" applyAlignment="1">
      <alignment vertical="center"/>
    </xf>
    <xf numFmtId="0" fontId="20" fillId="11" borderId="42" xfId="0" applyFont="1" applyFill="1" applyBorder="1" applyAlignment="1">
      <alignment horizontal="justify" vertical="center" wrapText="1"/>
    </xf>
    <xf numFmtId="0" fontId="20" fillId="7" borderId="8" xfId="0" applyFont="1" applyFill="1" applyBorder="1" applyAlignment="1">
      <alignment horizontal="center"/>
    </xf>
    <xf numFmtId="1" fontId="20" fillId="7" borderId="13" xfId="0" applyNumberFormat="1" applyFont="1" applyFill="1" applyBorder="1" applyAlignment="1">
      <alignment horizontal="center" vertical="center" wrapText="1"/>
    </xf>
    <xf numFmtId="0" fontId="30" fillId="12" borderId="2" xfId="0" applyFont="1" applyFill="1" applyBorder="1" applyAlignment="1">
      <alignment vertical="center"/>
    </xf>
    <xf numFmtId="0" fontId="30" fillId="12" borderId="2" xfId="0" applyFont="1" applyFill="1" applyBorder="1" applyAlignment="1">
      <alignment horizontal="justify" vertical="center"/>
    </xf>
    <xf numFmtId="0" fontId="30" fillId="12" borderId="2" xfId="0" applyFont="1" applyFill="1" applyBorder="1" applyAlignment="1">
      <alignment horizontal="center" vertical="center"/>
    </xf>
    <xf numFmtId="0" fontId="20" fillId="12" borderId="2" xfId="0" applyFont="1" applyFill="1" applyBorder="1" applyAlignment="1">
      <alignment horizontal="center" vertical="center"/>
    </xf>
    <xf numFmtId="169" fontId="30" fillId="12" borderId="2" xfId="0" applyNumberFormat="1" applyFont="1" applyFill="1" applyBorder="1" applyAlignment="1">
      <alignment horizontal="center" vertical="center"/>
    </xf>
    <xf numFmtId="43" fontId="20" fillId="12" borderId="2" xfId="1" applyFont="1" applyFill="1" applyBorder="1" applyAlignment="1">
      <alignment vertical="center"/>
    </xf>
    <xf numFmtId="0" fontId="30" fillId="12" borderId="0" xfId="0" applyFont="1" applyFill="1" applyAlignment="1">
      <alignment horizontal="justify" vertical="center"/>
    </xf>
    <xf numFmtId="43" fontId="30" fillId="12" borderId="8" xfId="1" applyFont="1" applyFill="1" applyBorder="1" applyAlignment="1">
      <alignment horizontal="center" vertical="center"/>
    </xf>
    <xf numFmtId="167" fontId="20" fillId="12" borderId="2" xfId="1" applyNumberFormat="1" applyFont="1" applyFill="1" applyBorder="1" applyAlignment="1">
      <alignment vertical="center"/>
    </xf>
    <xf numFmtId="14" fontId="20" fillId="12" borderId="2" xfId="0" applyNumberFormat="1" applyFont="1" applyFill="1" applyBorder="1" applyAlignment="1">
      <alignment vertical="center"/>
    </xf>
    <xf numFmtId="0" fontId="20" fillId="12" borderId="42" xfId="0" applyFont="1" applyFill="1" applyBorder="1" applyAlignment="1">
      <alignment horizontal="justify" vertical="center" wrapText="1"/>
    </xf>
    <xf numFmtId="43" fontId="20" fillId="7" borderId="37" xfId="1" applyFont="1" applyFill="1" applyBorder="1" applyAlignment="1">
      <alignment horizontal="justify" vertical="center" wrapText="1"/>
    </xf>
    <xf numFmtId="43" fontId="20" fillId="0" borderId="37" xfId="1" applyFont="1" applyBorder="1" applyAlignment="1">
      <alignment horizontal="justify" vertical="center" wrapText="1"/>
    </xf>
    <xf numFmtId="0" fontId="20" fillId="0" borderId="37" xfId="0" applyFont="1" applyBorder="1" applyAlignment="1">
      <alignment horizontal="center" vertical="center"/>
    </xf>
    <xf numFmtId="0" fontId="20" fillId="0" borderId="37" xfId="0" applyFont="1" applyBorder="1" applyAlignment="1">
      <alignment horizontal="center" vertical="center" wrapText="1"/>
    </xf>
    <xf numFmtId="41" fontId="20" fillId="0" borderId="37" xfId="0" applyNumberFormat="1" applyFont="1" applyBorder="1" applyAlignment="1">
      <alignment horizontal="justify" vertical="center"/>
    </xf>
    <xf numFmtId="1" fontId="20" fillId="0" borderId="19" xfId="0" applyNumberFormat="1" applyFont="1" applyBorder="1"/>
    <xf numFmtId="0" fontId="20" fillId="0" borderId="20" xfId="0" applyFont="1" applyBorder="1"/>
    <xf numFmtId="0" fontId="20" fillId="7" borderId="20" xfId="0" applyFont="1" applyFill="1" applyBorder="1" applyAlignment="1">
      <alignment horizontal="justify" vertical="center"/>
    </xf>
    <xf numFmtId="0" fontId="20" fillId="7" borderId="20" xfId="0" applyFont="1" applyFill="1" applyBorder="1" applyAlignment="1">
      <alignment horizontal="justify"/>
    </xf>
    <xf numFmtId="0" fontId="20" fillId="7" borderId="20" xfId="0" applyFont="1" applyFill="1" applyBorder="1"/>
    <xf numFmtId="0" fontId="20" fillId="7" borderId="20" xfId="0" applyFont="1" applyFill="1" applyBorder="1" applyAlignment="1">
      <alignment horizontal="center"/>
    </xf>
    <xf numFmtId="169" fontId="20" fillId="7" borderId="21" xfId="0" applyNumberFormat="1" applyFont="1" applyFill="1" applyBorder="1" applyAlignment="1">
      <alignment horizontal="center" vertical="center"/>
    </xf>
    <xf numFmtId="43" fontId="30" fillId="0" borderId="22" xfId="1" applyFont="1" applyBorder="1" applyAlignment="1">
      <alignment horizontal="center" vertical="center"/>
    </xf>
    <xf numFmtId="0" fontId="20" fillId="7" borderId="19" xfId="0" applyFont="1" applyFill="1" applyBorder="1" applyAlignment="1">
      <alignment horizontal="justify" vertical="center"/>
    </xf>
    <xf numFmtId="0" fontId="20" fillId="7" borderId="21" xfId="0" applyFont="1" applyFill="1" applyBorder="1" applyAlignment="1">
      <alignment horizontal="justify" vertical="center"/>
    </xf>
    <xf numFmtId="43" fontId="30" fillId="0" borderId="72" xfId="1" applyFont="1" applyBorder="1" applyAlignment="1">
      <alignment horizontal="center" vertical="center"/>
    </xf>
    <xf numFmtId="1" fontId="20" fillId="7" borderId="19" xfId="0" applyNumberFormat="1" applyFont="1" applyFill="1" applyBorder="1" applyAlignment="1">
      <alignment horizontal="center" vertical="center"/>
    </xf>
    <xf numFmtId="0" fontId="20" fillId="7" borderId="20" xfId="0" applyFont="1" applyFill="1" applyBorder="1" applyAlignment="1">
      <alignment horizontal="center" vertical="center"/>
    </xf>
    <xf numFmtId="167" fontId="20" fillId="0" borderId="20" xfId="1" applyNumberFormat="1" applyFont="1" applyBorder="1"/>
    <xf numFmtId="14" fontId="20" fillId="0" borderId="20" xfId="0" applyNumberFormat="1" applyFont="1" applyBorder="1" applyAlignment="1">
      <alignment horizontal="right" vertical="center"/>
    </xf>
    <xf numFmtId="0" fontId="20" fillId="0" borderId="21" xfId="0" applyFont="1" applyBorder="1" applyAlignment="1">
      <alignment horizontal="justify" vertical="center"/>
    </xf>
    <xf numFmtId="169" fontId="20" fillId="7" borderId="0" xfId="0" applyNumberFormat="1" applyFont="1" applyFill="1" applyAlignment="1">
      <alignment horizontal="center" vertical="center"/>
    </xf>
    <xf numFmtId="43" fontId="20" fillId="7" borderId="0" xfId="1" applyFont="1" applyFill="1" applyAlignment="1">
      <alignment vertical="center"/>
    </xf>
    <xf numFmtId="165" fontId="20" fillId="0" borderId="0" xfId="0" applyNumberFormat="1" applyFont="1" applyAlignment="1">
      <alignment horizontal="center" vertical="center"/>
    </xf>
    <xf numFmtId="167" fontId="20" fillId="0" borderId="0" xfId="1" applyNumberFormat="1" applyFont="1"/>
    <xf numFmtId="14" fontId="20" fillId="0" borderId="0" xfId="0" applyNumberFormat="1" applyFont="1" applyAlignment="1">
      <alignment horizontal="right" vertical="center"/>
    </xf>
    <xf numFmtId="0" fontId="20" fillId="0" borderId="0" xfId="0" applyFont="1" applyAlignment="1">
      <alignment horizontal="justify" vertical="center"/>
    </xf>
    <xf numFmtId="0" fontId="20" fillId="0" borderId="2" xfId="0" applyFont="1" applyBorder="1"/>
    <xf numFmtId="0" fontId="8" fillId="0" borderId="1" xfId="0" applyFont="1" applyBorder="1" applyAlignment="1">
      <alignment horizontal="center" vertical="center" wrapText="1"/>
    </xf>
    <xf numFmtId="0" fontId="20" fillId="0" borderId="0" xfId="0" applyFont="1" applyAlignment="1" applyProtection="1">
      <alignment horizontal="justify"/>
    </xf>
    <xf numFmtId="0" fontId="13" fillId="0" borderId="8" xfId="0" applyFont="1" applyBorder="1" applyAlignment="1" applyProtection="1">
      <alignment horizontal="justify" vertical="center" wrapText="1"/>
    </xf>
    <xf numFmtId="0" fontId="13" fillId="0" borderId="1" xfId="0" applyFont="1" applyBorder="1" applyAlignment="1" applyProtection="1">
      <alignment horizontal="justify" vertical="center" wrapText="1"/>
    </xf>
    <xf numFmtId="0" fontId="30" fillId="11" borderId="10" xfId="0" applyFont="1" applyFill="1" applyBorder="1" applyAlignment="1" applyProtection="1">
      <alignment horizontal="left" vertical="center"/>
    </xf>
    <xf numFmtId="0" fontId="8" fillId="7" borderId="1" xfId="0" applyFont="1" applyFill="1" applyBorder="1" applyAlignment="1">
      <alignment horizontal="center" vertical="center" wrapText="1"/>
    </xf>
    <xf numFmtId="1" fontId="35" fillId="0" borderId="1" xfId="0" applyNumberFormat="1" applyFont="1" applyBorder="1" applyAlignment="1" applyProtection="1">
      <alignment horizontal="center" vertical="center" wrapText="1"/>
    </xf>
    <xf numFmtId="0" fontId="13" fillId="0" borderId="8" xfId="0" applyFont="1" applyFill="1" applyBorder="1" applyAlignment="1" applyProtection="1">
      <alignment horizontal="justify" vertical="center" wrapText="1"/>
    </xf>
    <xf numFmtId="0" fontId="20" fillId="0" borderId="13" xfId="0" applyFont="1" applyFill="1" applyBorder="1" applyAlignment="1" applyProtection="1">
      <alignment horizontal="justify" vertical="center" wrapText="1"/>
    </xf>
    <xf numFmtId="0" fontId="35" fillId="0" borderId="1" xfId="0" applyFont="1" applyBorder="1" applyAlignment="1" applyProtection="1">
      <alignment horizontal="center" vertical="center" wrapText="1"/>
    </xf>
    <xf numFmtId="0" fontId="13" fillId="7" borderId="1" xfId="0" applyFont="1" applyFill="1" applyBorder="1" applyAlignment="1" applyProtection="1">
      <alignment horizontal="justify" vertical="center" wrapText="1"/>
    </xf>
    <xf numFmtId="0" fontId="20" fillId="7" borderId="8" xfId="0" applyFont="1" applyFill="1" applyBorder="1" applyAlignment="1" applyProtection="1">
      <alignment horizontal="justify" vertical="center" wrapText="1"/>
    </xf>
    <xf numFmtId="175" fontId="20" fillId="7" borderId="13" xfId="0" applyNumberFormat="1" applyFont="1" applyFill="1" applyBorder="1" applyAlignment="1" applyProtection="1">
      <alignment horizontal="center" vertical="center" wrapText="1"/>
    </xf>
    <xf numFmtId="0" fontId="20" fillId="7" borderId="1" xfId="0" applyFont="1" applyFill="1" applyBorder="1" applyAlignment="1" applyProtection="1">
      <alignment horizontal="justify" vertical="center" wrapText="1"/>
    </xf>
    <xf numFmtId="0" fontId="5" fillId="2" borderId="6"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1" fontId="5" fillId="2" borderId="6" xfId="0" applyNumberFormat="1" applyFont="1" applyFill="1" applyBorder="1" applyAlignment="1">
      <alignment horizontal="center" vertical="center" wrapText="1"/>
    </xf>
    <xf numFmtId="1" fontId="5" fillId="2" borderId="11" xfId="0" applyNumberFormat="1" applyFont="1" applyFill="1" applyBorder="1" applyAlignment="1">
      <alignment horizontal="center" vertical="center" wrapText="1"/>
    </xf>
    <xf numFmtId="0" fontId="7" fillId="3" borderId="8" xfId="0" applyFont="1" applyFill="1" applyBorder="1" applyAlignment="1">
      <alignment horizontal="center" vertical="center" textRotation="90" wrapText="1"/>
    </xf>
    <xf numFmtId="0" fontId="7" fillId="3" borderId="13" xfId="0" applyFont="1" applyFill="1" applyBorder="1" applyAlignment="1">
      <alignment horizontal="center" vertical="center" textRotation="90" wrapText="1"/>
    </xf>
    <xf numFmtId="0" fontId="7" fillId="3" borderId="14" xfId="0" applyFont="1" applyFill="1" applyBorder="1" applyAlignment="1">
      <alignment horizontal="center" vertical="center" textRotation="90" wrapText="1"/>
    </xf>
    <xf numFmtId="164" fontId="5" fillId="2" borderId="8" xfId="0" applyNumberFormat="1" applyFont="1" applyFill="1" applyBorder="1" applyAlignment="1">
      <alignment horizontal="center" vertical="center" wrapText="1"/>
    </xf>
    <xf numFmtId="164" fontId="5" fillId="2" borderId="13" xfId="0" applyNumberFormat="1" applyFont="1" applyFill="1" applyBorder="1" applyAlignment="1">
      <alignment horizontal="center" vertical="center" wrapText="1"/>
    </xf>
    <xf numFmtId="164" fontId="5" fillId="2" borderId="14" xfId="0" applyNumberFormat="1" applyFont="1" applyFill="1" applyBorder="1" applyAlignment="1">
      <alignment horizontal="center" vertical="center" wrapText="1"/>
    </xf>
    <xf numFmtId="3" fontId="5" fillId="2" borderId="8" xfId="0" applyNumberFormat="1" applyFont="1" applyFill="1" applyBorder="1" applyAlignment="1">
      <alignment horizontal="center" vertical="center" wrapText="1"/>
    </xf>
    <xf numFmtId="3" fontId="5" fillId="2" borderId="13" xfId="0" applyNumberFormat="1" applyFont="1" applyFill="1" applyBorder="1" applyAlignment="1">
      <alignment horizontal="center" vertical="center" wrapText="1"/>
    </xf>
    <xf numFmtId="1" fontId="5" fillId="2" borderId="13" xfId="0" applyNumberFormat="1" applyFont="1" applyFill="1" applyBorder="1" applyAlignment="1">
      <alignment horizontal="center" vertical="center" wrapText="1"/>
    </xf>
    <xf numFmtId="0" fontId="5" fillId="2" borderId="8" xfId="0" applyFont="1" applyFill="1" applyBorder="1" applyAlignment="1">
      <alignment horizontal="center" vertical="center" textRotation="90" wrapText="1"/>
    </xf>
    <xf numFmtId="0" fontId="5" fillId="2" borderId="13" xfId="0" applyFont="1" applyFill="1" applyBorder="1" applyAlignment="1">
      <alignment horizontal="center" vertical="center" textRotation="90" wrapText="1"/>
    </xf>
    <xf numFmtId="0" fontId="5" fillId="2" borderId="14" xfId="0" applyFont="1" applyFill="1" applyBorder="1" applyAlignment="1">
      <alignment horizontal="center" vertical="center" textRotation="90" wrapText="1"/>
    </xf>
    <xf numFmtId="49" fontId="5" fillId="2" borderId="8" xfId="0" applyNumberFormat="1" applyFont="1" applyFill="1" applyBorder="1" applyAlignment="1">
      <alignment horizontal="center" vertical="center" textRotation="90" wrapText="1"/>
    </xf>
    <xf numFmtId="49" fontId="5" fillId="2" borderId="13" xfId="0" applyNumberFormat="1" applyFont="1" applyFill="1" applyBorder="1" applyAlignment="1">
      <alignment horizontal="center" vertical="center" textRotation="90" wrapText="1"/>
    </xf>
    <xf numFmtId="49" fontId="5" fillId="2" borderId="14" xfId="0" applyNumberFormat="1" applyFont="1" applyFill="1" applyBorder="1" applyAlignment="1">
      <alignment horizontal="center" vertical="center" textRotation="90" wrapText="1"/>
    </xf>
    <xf numFmtId="3" fontId="7" fillId="3" borderId="9" xfId="0" applyNumberFormat="1" applyFont="1" applyFill="1" applyBorder="1" applyAlignment="1">
      <alignment horizontal="center" vertical="center" wrapText="1"/>
    </xf>
    <xf numFmtId="3" fontId="7" fillId="3" borderId="10" xfId="0" applyNumberFormat="1"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7" borderId="8" xfId="0" applyFont="1" applyFill="1" applyBorder="1" applyAlignment="1">
      <alignment horizontal="center" vertical="center" wrapText="1"/>
    </xf>
    <xf numFmtId="0" fontId="4" fillId="7" borderId="14" xfId="0" applyFont="1" applyFill="1" applyBorder="1" applyAlignment="1">
      <alignment horizontal="center" vertical="center" wrapText="1"/>
    </xf>
    <xf numFmtId="10" fontId="7" fillId="2" borderId="8" xfId="5" applyNumberFormat="1" applyFont="1" applyFill="1" applyBorder="1" applyAlignment="1">
      <alignment horizontal="center" vertical="center" wrapText="1"/>
    </xf>
    <xf numFmtId="10" fontId="7" fillId="2" borderId="13" xfId="5" applyNumberFormat="1" applyFont="1" applyFill="1" applyBorder="1" applyAlignment="1">
      <alignment horizontal="center" vertical="center" wrapText="1"/>
    </xf>
    <xf numFmtId="43" fontId="5" fillId="2" borderId="8" xfId="6" applyFont="1" applyFill="1" applyBorder="1" applyAlignment="1">
      <alignment horizontal="center" vertical="center" wrapText="1"/>
    </xf>
    <xf numFmtId="43" fontId="5" fillId="2" borderId="13" xfId="6" applyFont="1" applyFill="1" applyBorder="1" applyAlignment="1">
      <alignment horizontal="center" vertical="center" wrapText="1"/>
    </xf>
    <xf numFmtId="164" fontId="4" fillId="0" borderId="8" xfId="0" applyNumberFormat="1" applyFont="1" applyBorder="1" applyAlignment="1">
      <alignment horizontal="center" vertical="center" wrapText="1"/>
    </xf>
    <xf numFmtId="164" fontId="4" fillId="0" borderId="14" xfId="0" applyNumberFormat="1" applyFont="1" applyBorder="1" applyAlignment="1">
      <alignment horizontal="center" vertical="center" wrapText="1"/>
    </xf>
    <xf numFmtId="3" fontId="9" fillId="0" borderId="8" xfId="0" applyNumberFormat="1" applyFont="1" applyBorder="1" applyAlignment="1">
      <alignment horizontal="center" vertical="center" wrapText="1"/>
    </xf>
    <xf numFmtId="3" fontId="9" fillId="0" borderId="13" xfId="0" applyNumberFormat="1" applyFont="1" applyBorder="1" applyAlignment="1">
      <alignment horizontal="center" vertical="center"/>
    </xf>
    <xf numFmtId="3" fontId="4" fillId="0" borderId="8" xfId="0" applyNumberFormat="1" applyFont="1" applyBorder="1" applyAlignment="1">
      <alignment horizontal="center" vertical="center"/>
    </xf>
    <xf numFmtId="3" fontId="4" fillId="0" borderId="14" xfId="0" applyNumberFormat="1"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8" fillId="0" borderId="8" xfId="0" applyFont="1" applyBorder="1" applyAlignment="1">
      <alignment horizontal="justify" vertical="center" wrapText="1"/>
    </xf>
    <xf numFmtId="0" fontId="8" fillId="0" borderId="14" xfId="0" applyFont="1" applyBorder="1" applyAlignment="1">
      <alignment horizontal="justify" vertical="center" wrapText="1"/>
    </xf>
    <xf numFmtId="9" fontId="8" fillId="0" borderId="8" xfId="5" applyFont="1" applyBorder="1" applyAlignment="1">
      <alignment horizontal="center" vertical="center" wrapText="1"/>
    </xf>
    <xf numFmtId="9" fontId="8" fillId="0" borderId="14" xfId="5" applyFont="1" applyBorder="1" applyAlignment="1">
      <alignment horizontal="center" vertical="center" wrapText="1"/>
    </xf>
    <xf numFmtId="43" fontId="4" fillId="0" borderId="8" xfId="6" applyFont="1" applyBorder="1" applyAlignment="1">
      <alignment horizontal="center" vertical="center" wrapText="1"/>
    </xf>
    <xf numFmtId="43" fontId="4" fillId="0" borderId="14" xfId="6" applyFont="1" applyBorder="1" applyAlignment="1">
      <alignment horizontal="center" vertical="center" wrapText="1"/>
    </xf>
    <xf numFmtId="3" fontId="4" fillId="0" borderId="8" xfId="0" applyNumberFormat="1" applyFont="1" applyBorder="1" applyAlignment="1">
      <alignment horizontal="justify" vertical="center" wrapText="1"/>
    </xf>
    <xf numFmtId="3" fontId="4" fillId="0" borderId="14" xfId="0" applyNumberFormat="1" applyFont="1" applyBorder="1" applyAlignment="1">
      <alignment horizontal="justify" vertical="center" wrapText="1"/>
    </xf>
    <xf numFmtId="0" fontId="4" fillId="0" borderId="8" xfId="0" applyFont="1" applyBorder="1" applyAlignment="1">
      <alignment horizontal="justify" vertical="center" wrapText="1"/>
    </xf>
    <xf numFmtId="0" fontId="4" fillId="0" borderId="14" xfId="0" applyFont="1" applyBorder="1" applyAlignment="1">
      <alignment horizontal="justify" vertical="center" wrapText="1"/>
    </xf>
    <xf numFmtId="3" fontId="4" fillId="0" borderId="17" xfId="0" applyNumberFormat="1" applyFont="1" applyBorder="1" applyAlignment="1">
      <alignment horizontal="center" vertical="center" wrapText="1"/>
    </xf>
    <xf numFmtId="0" fontId="4" fillId="5" borderId="8"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8" xfId="0" applyFont="1" applyFill="1" applyBorder="1" applyAlignment="1">
      <alignment horizontal="justify" vertical="center" wrapText="1"/>
    </xf>
    <xf numFmtId="0" fontId="4" fillId="5" borderId="13" xfId="0" applyFont="1" applyFill="1" applyBorder="1" applyAlignment="1">
      <alignment horizontal="justify" vertical="center" wrapText="1"/>
    </xf>
    <xf numFmtId="0" fontId="4" fillId="5" borderId="18" xfId="0" applyFont="1" applyFill="1" applyBorder="1" applyAlignment="1">
      <alignment horizontal="justify" vertical="center" wrapText="1"/>
    </xf>
    <xf numFmtId="43" fontId="4" fillId="5" borderId="8" xfId="6" applyFont="1" applyFill="1" applyBorder="1" applyAlignment="1">
      <alignment horizontal="center" vertical="center" wrapText="1"/>
    </xf>
    <xf numFmtId="43" fontId="4" fillId="5" borderId="13" xfId="6" applyFont="1" applyFill="1" applyBorder="1" applyAlignment="1">
      <alignment horizontal="center" vertical="center" wrapText="1"/>
    </xf>
    <xf numFmtId="43" fontId="4" fillId="5" borderId="18" xfId="6" applyFont="1" applyFill="1" applyBorder="1" applyAlignment="1">
      <alignment horizontal="center" vertical="center" wrapText="1"/>
    </xf>
    <xf numFmtId="3" fontId="4" fillId="0" borderId="1" xfId="0" applyNumberFormat="1" applyFont="1" applyBorder="1" applyAlignment="1">
      <alignment horizontal="center" vertical="center"/>
    </xf>
    <xf numFmtId="10" fontId="8" fillId="0" borderId="1" xfId="5" applyNumberFormat="1" applyFont="1" applyBorder="1" applyAlignment="1">
      <alignment horizontal="center" vertical="center" wrapText="1"/>
    </xf>
    <xf numFmtId="4" fontId="4" fillId="7" borderId="1" xfId="6" applyNumberFormat="1" applyFont="1" applyFill="1" applyBorder="1" applyAlignment="1">
      <alignment horizontal="center" vertical="center" wrapText="1"/>
    </xf>
    <xf numFmtId="3" fontId="4" fillId="0" borderId="15" xfId="0" applyNumberFormat="1" applyFont="1" applyBorder="1" applyAlignment="1">
      <alignment horizontal="center" vertical="center"/>
    </xf>
    <xf numFmtId="1" fontId="4" fillId="5" borderId="8" xfId="0" applyNumberFormat="1" applyFont="1" applyFill="1" applyBorder="1" applyAlignment="1">
      <alignment horizontal="center" vertical="center" wrapText="1"/>
    </xf>
    <xf numFmtId="1" fontId="4" fillId="5" borderId="14" xfId="0" applyNumberFormat="1" applyFont="1" applyFill="1" applyBorder="1" applyAlignment="1">
      <alignment horizontal="center" vertical="center" wrapText="1"/>
    </xf>
    <xf numFmtId="0" fontId="4" fillId="5" borderId="14" xfId="0" applyFont="1" applyFill="1" applyBorder="1" applyAlignment="1">
      <alignment horizontal="center" vertical="center" wrapText="1"/>
    </xf>
    <xf numFmtId="3" fontId="4" fillId="0" borderId="13" xfId="0" applyNumberFormat="1" applyFont="1" applyBorder="1" applyAlignment="1">
      <alignment horizontal="center" vertical="center"/>
    </xf>
    <xf numFmtId="3" fontId="4" fillId="0" borderId="18" xfId="0" applyNumberFormat="1" applyFont="1" applyBorder="1" applyAlignment="1">
      <alignment horizontal="center" vertical="center"/>
    </xf>
    <xf numFmtId="164" fontId="4" fillId="5" borderId="8" xfId="0" applyNumberFormat="1" applyFont="1" applyFill="1" applyBorder="1" applyAlignment="1">
      <alignment horizontal="center" vertical="center" wrapText="1"/>
    </xf>
    <xf numFmtId="164" fontId="4" fillId="5" borderId="13" xfId="0" applyNumberFormat="1" applyFont="1" applyFill="1" applyBorder="1" applyAlignment="1">
      <alignment horizontal="center" vertical="center" wrapText="1"/>
    </xf>
    <xf numFmtId="164" fontId="4" fillId="5" borderId="18" xfId="0" applyNumberFormat="1" applyFont="1" applyFill="1" applyBorder="1" applyAlignment="1">
      <alignment horizontal="center" vertical="center" wrapText="1"/>
    </xf>
    <xf numFmtId="0" fontId="4" fillId="0" borderId="9" xfId="0" applyFont="1" applyBorder="1" applyAlignment="1">
      <alignment horizontal="center" vertical="center" wrapText="1"/>
    </xf>
    <xf numFmtId="10" fontId="8" fillId="5" borderId="8" xfId="5" applyNumberFormat="1" applyFont="1" applyFill="1" applyBorder="1" applyAlignment="1">
      <alignment horizontal="center" vertical="center" wrapText="1"/>
    </xf>
    <xf numFmtId="10" fontId="8" fillId="5" borderId="14" xfId="5" applyNumberFormat="1" applyFont="1" applyFill="1" applyBorder="1" applyAlignment="1">
      <alignment horizontal="center" vertical="center" wrapText="1"/>
    </xf>
    <xf numFmtId="43" fontId="4" fillId="7" borderId="8" xfId="6" applyFont="1" applyFill="1" applyBorder="1" applyAlignment="1">
      <alignment horizontal="center" vertical="center" wrapText="1"/>
    </xf>
    <xf numFmtId="43" fontId="4" fillId="7" borderId="14" xfId="6" applyFont="1" applyFill="1" applyBorder="1" applyAlignment="1">
      <alignment horizontal="center" vertical="center" wrapText="1"/>
    </xf>
    <xf numFmtId="0" fontId="11" fillId="0" borderId="0" xfId="0" applyFont="1" applyAlignment="1" applyProtection="1">
      <alignment horizontal="center" vertical="center" wrapText="1"/>
    </xf>
    <xf numFmtId="0" fontId="11" fillId="0" borderId="2" xfId="0" applyFont="1" applyBorder="1" applyAlignment="1" applyProtection="1">
      <alignment horizontal="center" vertical="center" wrapText="1"/>
    </xf>
    <xf numFmtId="0" fontId="30" fillId="0" borderId="3" xfId="0" applyFont="1" applyBorder="1" applyAlignment="1" applyProtection="1">
      <alignment horizontal="center" vertical="center"/>
    </xf>
    <xf numFmtId="0" fontId="30" fillId="0" borderId="1" xfId="0" applyFont="1" applyBorder="1" applyAlignment="1" applyProtection="1">
      <alignment horizontal="center" vertical="center"/>
    </xf>
    <xf numFmtId="1" fontId="30" fillId="8" borderId="8" xfId="0" applyNumberFormat="1" applyFont="1" applyFill="1" applyBorder="1" applyAlignment="1" applyProtection="1">
      <alignment horizontal="center" vertical="center" wrapText="1"/>
    </xf>
    <xf numFmtId="1" fontId="30" fillId="8" borderId="13" xfId="0" applyNumberFormat="1" applyFont="1" applyFill="1" applyBorder="1" applyAlignment="1" applyProtection="1">
      <alignment horizontal="center" vertical="center" wrapText="1"/>
    </xf>
    <xf numFmtId="0" fontId="30" fillId="8" borderId="7" xfId="0" applyFont="1" applyFill="1" applyBorder="1" applyAlignment="1" applyProtection="1">
      <alignment horizontal="center" vertical="center" wrapText="1"/>
    </xf>
    <xf numFmtId="0" fontId="30" fillId="8" borderId="6" xfId="0" applyFont="1" applyFill="1" applyBorder="1" applyAlignment="1" applyProtection="1">
      <alignment horizontal="center" vertical="center" wrapText="1"/>
    </xf>
    <xf numFmtId="0" fontId="30" fillId="8" borderId="12" xfId="0" applyFont="1" applyFill="1" applyBorder="1" applyAlignment="1" applyProtection="1">
      <alignment horizontal="center" vertical="center" wrapText="1"/>
    </xf>
    <xf numFmtId="0" fontId="30" fillId="8" borderId="11" xfId="0" applyFont="1" applyFill="1" applyBorder="1" applyAlignment="1" applyProtection="1">
      <alignment horizontal="center" vertical="center" wrapText="1"/>
    </xf>
    <xf numFmtId="0" fontId="30" fillId="8" borderId="8" xfId="0" applyFont="1" applyFill="1" applyBorder="1" applyAlignment="1" applyProtection="1">
      <alignment horizontal="center" vertical="center" wrapText="1"/>
    </xf>
    <xf numFmtId="0" fontId="30" fillId="8" borderId="13" xfId="0" applyFont="1" applyFill="1" applyBorder="1" applyAlignment="1" applyProtection="1">
      <alignment horizontal="center" vertical="center" wrapText="1"/>
    </xf>
    <xf numFmtId="3" fontId="30" fillId="8" borderId="8" xfId="0" applyNumberFormat="1" applyFont="1" applyFill="1" applyBorder="1" applyAlignment="1" applyProtection="1">
      <alignment horizontal="center" vertical="center" wrapText="1"/>
    </xf>
    <xf numFmtId="3" fontId="30" fillId="8" borderId="13" xfId="0" applyNumberFormat="1" applyFont="1" applyFill="1" applyBorder="1" applyAlignment="1" applyProtection="1">
      <alignment horizontal="center" vertical="center" wrapText="1"/>
    </xf>
    <xf numFmtId="0" fontId="30" fillId="10" borderId="10" xfId="0" applyFont="1" applyFill="1" applyBorder="1" applyAlignment="1" applyProtection="1">
      <alignment horizontal="left" vertical="center"/>
    </xf>
    <xf numFmtId="0" fontId="30" fillId="11" borderId="10" xfId="0" applyFont="1" applyFill="1" applyBorder="1" applyAlignment="1" applyProtection="1">
      <alignment horizontal="left" vertical="center"/>
    </xf>
    <xf numFmtId="3" fontId="7" fillId="9" borderId="9" xfId="0" applyNumberFormat="1" applyFont="1" applyFill="1" applyBorder="1" applyAlignment="1" applyProtection="1">
      <alignment horizontal="center" vertical="center" wrapText="1"/>
    </xf>
    <xf numFmtId="3" fontId="7" fillId="9" borderId="10" xfId="0" applyNumberFormat="1" applyFont="1" applyFill="1" applyBorder="1" applyAlignment="1" applyProtection="1">
      <alignment horizontal="center" vertical="center" wrapText="1"/>
    </xf>
    <xf numFmtId="0" fontId="7" fillId="9" borderId="9" xfId="0" applyFont="1" applyFill="1" applyBorder="1" applyAlignment="1" applyProtection="1">
      <alignment horizontal="center" vertical="center" wrapText="1"/>
    </xf>
    <xf numFmtId="0" fontId="7" fillId="9" borderId="10" xfId="0" applyFont="1" applyFill="1" applyBorder="1" applyAlignment="1" applyProtection="1">
      <alignment horizontal="center" vertical="center" wrapText="1"/>
    </xf>
    <xf numFmtId="0" fontId="7" fillId="9" borderId="9" xfId="0" applyFont="1" applyFill="1" applyBorder="1" applyAlignment="1" applyProtection="1">
      <alignment horizontal="center" vertical="center"/>
    </xf>
    <xf numFmtId="0" fontId="7" fillId="9" borderId="10" xfId="0" applyFont="1" applyFill="1" applyBorder="1" applyAlignment="1" applyProtection="1">
      <alignment horizontal="center" vertical="center"/>
    </xf>
    <xf numFmtId="0" fontId="7" fillId="9" borderId="7" xfId="0" applyFont="1" applyFill="1" applyBorder="1" applyAlignment="1" applyProtection="1">
      <alignment horizontal="center" vertical="center" wrapText="1"/>
    </xf>
    <xf numFmtId="0" fontId="7" fillId="9" borderId="3" xfId="0" applyFont="1" applyFill="1" applyBorder="1" applyAlignment="1" applyProtection="1">
      <alignment horizontal="center" vertical="center" wrapText="1"/>
    </xf>
    <xf numFmtId="169" fontId="30" fillId="8" borderId="8" xfId="0" applyNumberFormat="1" applyFont="1" applyFill="1" applyBorder="1" applyAlignment="1" applyProtection="1">
      <alignment horizontal="center" vertical="center" wrapText="1"/>
    </xf>
    <xf numFmtId="169" fontId="30" fillId="8" borderId="13" xfId="0" applyNumberFormat="1" applyFont="1" applyFill="1" applyBorder="1" applyAlignment="1" applyProtection="1">
      <alignment horizontal="center" vertical="center" wrapText="1"/>
    </xf>
    <xf numFmtId="165" fontId="30" fillId="8" borderId="8" xfId="0" applyNumberFormat="1" applyFont="1" applyFill="1" applyBorder="1" applyAlignment="1" applyProtection="1">
      <alignment horizontal="center" vertical="center" wrapText="1"/>
    </xf>
    <xf numFmtId="165" fontId="30" fillId="8" borderId="13" xfId="0" applyNumberFormat="1" applyFont="1" applyFill="1" applyBorder="1" applyAlignment="1" applyProtection="1">
      <alignment horizontal="center" vertical="center" wrapText="1"/>
    </xf>
    <xf numFmtId="41" fontId="30" fillId="8" borderId="8" xfId="8" applyFont="1" applyFill="1" applyBorder="1" applyAlignment="1" applyProtection="1">
      <alignment horizontal="right" vertical="center" wrapText="1"/>
    </xf>
    <xf numFmtId="41" fontId="30" fillId="8" borderId="13" xfId="8" applyFont="1" applyFill="1" applyBorder="1" applyAlignment="1" applyProtection="1">
      <alignment horizontal="right" vertical="center" wrapText="1"/>
    </xf>
    <xf numFmtId="0" fontId="30" fillId="8" borderId="4" xfId="0" applyFont="1" applyFill="1" applyBorder="1" applyAlignment="1" applyProtection="1">
      <alignment horizontal="center" vertical="center" wrapText="1"/>
    </xf>
    <xf numFmtId="0" fontId="30" fillId="12" borderId="10" xfId="0" applyFont="1" applyFill="1" applyBorder="1" applyAlignment="1" applyProtection="1">
      <alignment horizontal="left" vertical="center"/>
    </xf>
    <xf numFmtId="0" fontId="20" fillId="0" borderId="1" xfId="0" applyFont="1" applyBorder="1" applyAlignment="1" applyProtection="1">
      <alignment horizontal="center" vertical="center" wrapText="1"/>
    </xf>
    <xf numFmtId="0" fontId="20" fillId="0" borderId="1" xfId="0" applyFont="1" applyBorder="1" applyAlignment="1" applyProtection="1">
      <alignment horizontal="justify" vertical="center" wrapText="1"/>
    </xf>
    <xf numFmtId="166" fontId="30" fillId="9" borderId="7" xfId="0" applyNumberFormat="1" applyFont="1" applyFill="1" applyBorder="1" applyAlignment="1" applyProtection="1">
      <alignment horizontal="center" vertical="center" textRotation="90" wrapText="1"/>
    </xf>
    <xf numFmtId="166" fontId="30" fillId="9" borderId="12" xfId="0" applyNumberFormat="1" applyFont="1" applyFill="1" applyBorder="1" applyAlignment="1" applyProtection="1">
      <alignment horizontal="center" vertical="center" textRotation="90" wrapText="1"/>
    </xf>
    <xf numFmtId="166" fontId="30" fillId="8" borderId="7" xfId="0" applyNumberFormat="1" applyFont="1" applyFill="1" applyBorder="1" applyAlignment="1" applyProtection="1">
      <alignment horizontal="center" vertical="center" wrapText="1"/>
    </xf>
    <xf numFmtId="166" fontId="30" fillId="8" borderId="12" xfId="0" applyNumberFormat="1" applyFont="1" applyFill="1" applyBorder="1" applyAlignment="1" applyProtection="1">
      <alignment horizontal="center" vertical="center" wrapText="1"/>
    </xf>
    <xf numFmtId="182" fontId="20" fillId="0" borderId="1" xfId="0" applyNumberFormat="1" applyFont="1" applyBorder="1" applyAlignment="1" applyProtection="1">
      <alignment horizontal="center" vertical="center"/>
    </xf>
    <xf numFmtId="1" fontId="20" fillId="0" borderId="1" xfId="0" applyNumberFormat="1" applyFont="1" applyBorder="1" applyAlignment="1" applyProtection="1">
      <alignment horizontal="center" vertical="center" wrapText="1"/>
    </xf>
    <xf numFmtId="0" fontId="20" fillId="0" borderId="1" xfId="9" applyNumberFormat="1" applyFont="1" applyBorder="1" applyAlignment="1" applyProtection="1">
      <alignment horizontal="center" vertical="center"/>
    </xf>
    <xf numFmtId="0" fontId="20" fillId="0" borderId="1" xfId="0" applyFont="1" applyBorder="1" applyAlignment="1" applyProtection="1">
      <alignment horizontal="center" vertical="center"/>
    </xf>
    <xf numFmtId="1" fontId="20" fillId="0" borderId="1" xfId="9" applyNumberFormat="1" applyFont="1" applyBorder="1" applyAlignment="1" applyProtection="1">
      <alignment vertical="center" wrapText="1"/>
    </xf>
    <xf numFmtId="9" fontId="20" fillId="0" borderId="9" xfId="11" applyFont="1" applyBorder="1" applyAlignment="1" applyProtection="1">
      <alignment horizontal="center" vertical="center" wrapText="1"/>
    </xf>
    <xf numFmtId="43" fontId="20" fillId="0" borderId="1" xfId="9" applyFont="1" applyBorder="1" applyAlignment="1" applyProtection="1">
      <alignment horizontal="center" vertical="center" wrapText="1"/>
    </xf>
    <xf numFmtId="0" fontId="20" fillId="0" borderId="8" xfId="0" applyFont="1" applyBorder="1" applyAlignment="1" applyProtection="1">
      <alignment horizontal="justify" vertical="center" wrapText="1"/>
    </xf>
    <xf numFmtId="0" fontId="20" fillId="0" borderId="13" xfId="0" applyFont="1" applyBorder="1" applyAlignment="1" applyProtection="1">
      <alignment horizontal="justify" vertical="center" wrapText="1"/>
    </xf>
    <xf numFmtId="0" fontId="20" fillId="0" borderId="14" xfId="0" applyFont="1" applyBorder="1" applyAlignment="1" applyProtection="1">
      <alignment horizontal="justify" vertical="center" wrapText="1"/>
    </xf>
    <xf numFmtId="0" fontId="13" fillId="0" borderId="1" xfId="0" applyFont="1" applyBorder="1" applyAlignment="1" applyProtection="1">
      <alignment horizontal="justify" vertical="center" wrapText="1"/>
    </xf>
    <xf numFmtId="0" fontId="20" fillId="0" borderId="15" xfId="9" applyNumberFormat="1" applyFont="1" applyBorder="1" applyAlignment="1" applyProtection="1">
      <alignment horizontal="center" vertical="center"/>
    </xf>
    <xf numFmtId="9" fontId="20" fillId="0" borderId="1" xfId="11" applyFont="1" applyBorder="1" applyAlignment="1" applyProtection="1">
      <alignment horizontal="center" vertical="center"/>
    </xf>
    <xf numFmtId="43" fontId="20" fillId="0" borderId="1" xfId="9" applyFont="1" applyBorder="1" applyAlignment="1" applyProtection="1">
      <alignment horizontal="center" vertical="center"/>
    </xf>
    <xf numFmtId="1" fontId="20" fillId="0" borderId="1" xfId="0" applyNumberFormat="1" applyFont="1" applyBorder="1" applyAlignment="1" applyProtection="1">
      <alignment horizontal="justify" vertical="center" wrapText="1"/>
    </xf>
    <xf numFmtId="0" fontId="30" fillId="26" borderId="10" xfId="0" applyFont="1" applyFill="1" applyBorder="1" applyAlignment="1" applyProtection="1">
      <alignment horizontal="left" vertical="center"/>
    </xf>
    <xf numFmtId="0" fontId="30" fillId="18" borderId="10" xfId="0" applyFont="1" applyFill="1" applyBorder="1" applyAlignment="1" applyProtection="1">
      <alignment horizontal="left" vertical="center"/>
    </xf>
    <xf numFmtId="1" fontId="20" fillId="0" borderId="9" xfId="0" applyNumberFormat="1" applyFont="1" applyBorder="1" applyAlignment="1" applyProtection="1">
      <alignment horizontal="center" vertical="center" wrapText="1"/>
    </xf>
    <xf numFmtId="0" fontId="20" fillId="0" borderId="8" xfId="0" applyFont="1" applyBorder="1" applyAlignment="1" applyProtection="1">
      <alignment horizontal="center" vertical="center" wrapText="1"/>
    </xf>
    <xf numFmtId="0" fontId="20" fillId="0" borderId="13" xfId="0" applyFont="1" applyBorder="1" applyAlignment="1" applyProtection="1">
      <alignment horizontal="center" vertical="center" wrapText="1"/>
    </xf>
    <xf numFmtId="1" fontId="20" fillId="0" borderId="1" xfId="0" applyNumberFormat="1" applyFont="1" applyBorder="1" applyAlignment="1" applyProtection="1">
      <alignment horizontal="center" vertical="center"/>
    </xf>
    <xf numFmtId="0" fontId="20" fillId="0" borderId="1" xfId="0" applyFont="1" applyBorder="1" applyAlignment="1" applyProtection="1">
      <alignment vertical="center"/>
    </xf>
    <xf numFmtId="1" fontId="20" fillId="0" borderId="1" xfId="0" applyNumberFormat="1" applyFont="1" applyBorder="1" applyAlignment="1" applyProtection="1">
      <alignment vertical="center" wrapText="1"/>
    </xf>
    <xf numFmtId="0" fontId="20" fillId="0" borderId="9" xfId="0" applyFont="1" applyBorder="1" applyAlignment="1" applyProtection="1">
      <alignment horizontal="justify" vertical="center" wrapText="1"/>
    </xf>
    <xf numFmtId="1" fontId="20" fillId="0" borderId="8" xfId="9" applyNumberFormat="1" applyFont="1" applyBorder="1" applyAlignment="1" applyProtection="1">
      <alignment horizontal="center" vertical="center"/>
    </xf>
    <xf numFmtId="1" fontId="20" fillId="0" borderId="13" xfId="9" applyNumberFormat="1" applyFont="1" applyBorder="1" applyAlignment="1" applyProtection="1">
      <alignment horizontal="center" vertical="center"/>
    </xf>
    <xf numFmtId="1" fontId="20" fillId="0" borderId="11" xfId="9" applyNumberFormat="1" applyFont="1" applyBorder="1" applyAlignment="1" applyProtection="1">
      <alignment horizontal="center" vertical="center"/>
    </xf>
    <xf numFmtId="1" fontId="20" fillId="0" borderId="5" xfId="9" applyNumberFormat="1" applyFont="1" applyBorder="1" applyAlignment="1" applyProtection="1">
      <alignment horizontal="center" vertical="center"/>
    </xf>
    <xf numFmtId="0" fontId="13" fillId="0" borderId="8" xfId="0" applyFont="1" applyBorder="1" applyAlignment="1" applyProtection="1">
      <alignment horizontal="left" vertical="center" wrapText="1"/>
    </xf>
    <xf numFmtId="0" fontId="13" fillId="0" borderId="14" xfId="0" applyFont="1" applyBorder="1" applyAlignment="1" applyProtection="1">
      <alignment horizontal="left" vertical="center" wrapText="1"/>
    </xf>
    <xf numFmtId="0" fontId="13" fillId="0" borderId="7" xfId="0" applyFont="1" applyBorder="1" applyAlignment="1" applyProtection="1">
      <alignment horizontal="left" vertical="center" wrapText="1"/>
    </xf>
    <xf numFmtId="0" fontId="13" fillId="0" borderId="62" xfId="0" applyFont="1" applyBorder="1" applyAlignment="1" applyProtection="1">
      <alignment horizontal="left" vertical="center" wrapText="1"/>
    </xf>
    <xf numFmtId="0" fontId="13" fillId="0" borderId="8" xfId="0" applyFont="1" applyBorder="1" applyAlignment="1" applyProtection="1">
      <alignment horizontal="justify" vertical="center" wrapText="1"/>
    </xf>
    <xf numFmtId="0" fontId="13" fillId="0" borderId="4" xfId="0" applyFont="1" applyBorder="1" applyAlignment="1" applyProtection="1">
      <alignment horizontal="justify" vertical="center" wrapText="1"/>
    </xf>
    <xf numFmtId="1" fontId="20" fillId="0" borderId="8" xfId="0" applyNumberFormat="1" applyFont="1" applyBorder="1" applyAlignment="1" applyProtection="1">
      <alignment horizontal="center" vertical="center"/>
    </xf>
    <xf numFmtId="1" fontId="20" fillId="0" borderId="13" xfId="0" applyNumberFormat="1" applyFont="1" applyBorder="1" applyAlignment="1" applyProtection="1">
      <alignment horizontal="center" vertical="center"/>
    </xf>
    <xf numFmtId="9" fontId="20" fillId="0" borderId="8" xfId="11" applyFont="1" applyBorder="1" applyAlignment="1" applyProtection="1">
      <alignment horizontal="center" vertical="center"/>
    </xf>
    <xf numFmtId="9" fontId="20" fillId="0" borderId="13" xfId="11" applyFont="1" applyBorder="1" applyAlignment="1" applyProtection="1">
      <alignment horizontal="center" vertical="center"/>
    </xf>
    <xf numFmtId="1" fontId="20" fillId="0" borderId="8" xfId="9" applyNumberFormat="1" applyFont="1" applyBorder="1" applyAlignment="1" applyProtection="1">
      <alignment horizontal="center" vertical="center" wrapText="1"/>
    </xf>
    <xf numFmtId="1" fontId="20" fillId="0" borderId="13" xfId="9" applyNumberFormat="1" applyFont="1" applyBorder="1" applyAlignment="1" applyProtection="1">
      <alignment horizontal="center" vertical="center" wrapText="1"/>
    </xf>
    <xf numFmtId="1" fontId="20" fillId="0" borderId="14" xfId="9" applyNumberFormat="1" applyFont="1" applyBorder="1" applyAlignment="1" applyProtection="1">
      <alignment horizontal="center" vertical="center" wrapText="1"/>
    </xf>
    <xf numFmtId="182" fontId="20" fillId="0" borderId="8" xfId="0" applyNumberFormat="1" applyFont="1" applyBorder="1" applyAlignment="1" applyProtection="1">
      <alignment horizontal="center" vertical="center"/>
    </xf>
    <xf numFmtId="182" fontId="20" fillId="0" borderId="13" xfId="0" applyNumberFormat="1" applyFont="1" applyBorder="1" applyAlignment="1" applyProtection="1">
      <alignment horizontal="center" vertical="center"/>
    </xf>
    <xf numFmtId="182" fontId="20" fillId="0" borderId="14" xfId="0" applyNumberFormat="1" applyFont="1" applyBorder="1" applyAlignment="1" applyProtection="1">
      <alignment horizontal="center" vertical="center"/>
    </xf>
    <xf numFmtId="1" fontId="20" fillId="0" borderId="8" xfId="0" applyNumberFormat="1" applyFont="1" applyBorder="1" applyAlignment="1" applyProtection="1">
      <alignment horizontal="center" vertical="center" wrapText="1"/>
    </xf>
    <xf numFmtId="1" fontId="20" fillId="0" borderId="13" xfId="0" applyNumberFormat="1" applyFont="1" applyBorder="1" applyAlignment="1" applyProtection="1">
      <alignment horizontal="center" vertical="center" wrapText="1"/>
    </xf>
    <xf numFmtId="1" fontId="20" fillId="0" borderId="14" xfId="0" applyNumberFormat="1" applyFont="1" applyBorder="1" applyAlignment="1" applyProtection="1">
      <alignment horizontal="center" vertical="center" wrapText="1"/>
    </xf>
    <xf numFmtId="1" fontId="20" fillId="0" borderId="1" xfId="9" applyNumberFormat="1" applyFont="1" applyBorder="1" applyAlignment="1" applyProtection="1">
      <alignment horizontal="center" vertical="center" wrapText="1"/>
    </xf>
    <xf numFmtId="1" fontId="20" fillId="0" borderId="7" xfId="9" applyNumberFormat="1" applyFont="1" applyBorder="1" applyAlignment="1" applyProtection="1">
      <alignment horizontal="center" vertical="center" wrapText="1"/>
    </xf>
    <xf numFmtId="1" fontId="20" fillId="0" borderId="12" xfId="9" applyNumberFormat="1" applyFont="1" applyBorder="1" applyAlignment="1" applyProtection="1">
      <alignment horizontal="center" vertical="center" wrapText="1"/>
    </xf>
    <xf numFmtId="1" fontId="20" fillId="0" borderId="4" xfId="9" applyNumberFormat="1" applyFont="1" applyBorder="1" applyAlignment="1" applyProtection="1">
      <alignment horizontal="center" vertical="center" wrapText="1"/>
    </xf>
    <xf numFmtId="0" fontId="20" fillId="0" borderId="6" xfId="0" applyFont="1" applyBorder="1" applyAlignment="1" applyProtection="1">
      <alignment horizontal="justify" vertical="center" wrapText="1"/>
    </xf>
    <xf numFmtId="0" fontId="20" fillId="0" borderId="11" xfId="0" applyFont="1" applyBorder="1" applyAlignment="1" applyProtection="1">
      <alignment horizontal="justify" vertical="center" wrapText="1"/>
    </xf>
    <xf numFmtId="43" fontId="20" fillId="0" borderId="8" xfId="9" applyFont="1" applyBorder="1" applyAlignment="1" applyProtection="1">
      <alignment horizontal="center" vertical="center" wrapText="1"/>
    </xf>
    <xf numFmtId="43" fontId="20" fillId="0" borderId="13" xfId="9" applyFont="1" applyBorder="1" applyAlignment="1" applyProtection="1">
      <alignment horizontal="center" vertical="center" wrapText="1"/>
    </xf>
    <xf numFmtId="0" fontId="20" fillId="0" borderId="0" xfId="0" applyFont="1" applyAlignment="1" applyProtection="1">
      <alignment horizontal="justify" vertical="center" wrapText="1"/>
    </xf>
    <xf numFmtId="0" fontId="20" fillId="0" borderId="12" xfId="0" applyFont="1" applyBorder="1" applyAlignment="1" applyProtection="1">
      <alignment horizontal="justify" vertical="center" wrapText="1"/>
    </xf>
    <xf numFmtId="0" fontId="20" fillId="0" borderId="37" xfId="0" applyFont="1" applyBorder="1" applyAlignment="1" applyProtection="1">
      <alignment horizontal="center" vertical="center" wrapText="1"/>
    </xf>
    <xf numFmtId="0" fontId="20" fillId="0" borderId="36" xfId="0" applyFont="1" applyBorder="1" applyAlignment="1" applyProtection="1">
      <alignment horizontal="center" vertical="center" wrapText="1"/>
    </xf>
    <xf numFmtId="0" fontId="20" fillId="0" borderId="37" xfId="0" applyFont="1" applyBorder="1" applyAlignment="1" applyProtection="1">
      <alignment horizontal="justify" vertical="center" wrapText="1"/>
    </xf>
    <xf numFmtId="0" fontId="20" fillId="0" borderId="36" xfId="0" applyFont="1" applyBorder="1" applyAlignment="1" applyProtection="1">
      <alignment horizontal="justify" vertical="center" wrapText="1"/>
    </xf>
    <xf numFmtId="0" fontId="1" fillId="0" borderId="8" xfId="0" applyFont="1" applyBorder="1" applyAlignment="1" applyProtection="1">
      <alignment horizontal="justify" vertical="center" wrapText="1"/>
    </xf>
    <xf numFmtId="0" fontId="1" fillId="0" borderId="14" xfId="0" applyFont="1" applyBorder="1" applyAlignment="1" applyProtection="1">
      <alignment horizontal="justify" vertical="center" wrapText="1"/>
    </xf>
    <xf numFmtId="0" fontId="1" fillId="7" borderId="8" xfId="0" applyFont="1" applyFill="1" applyBorder="1" applyAlignment="1" applyProtection="1">
      <alignment horizontal="justify" vertical="center" wrapText="1"/>
    </xf>
    <xf numFmtId="0" fontId="1" fillId="7" borderId="14" xfId="0" applyFont="1" applyFill="1" applyBorder="1" applyAlignment="1" applyProtection="1">
      <alignment horizontal="justify" vertical="center" wrapText="1"/>
    </xf>
    <xf numFmtId="1" fontId="20" fillId="0" borderId="15" xfId="0" applyNumberFormat="1" applyFont="1" applyBorder="1" applyAlignment="1" applyProtection="1">
      <alignment horizontal="center" vertical="center"/>
    </xf>
    <xf numFmtId="1" fontId="20" fillId="0" borderId="14" xfId="0" applyNumberFormat="1" applyFont="1" applyBorder="1" applyAlignment="1" applyProtection="1">
      <alignment horizontal="center" vertical="center"/>
    </xf>
    <xf numFmtId="0" fontId="33" fillId="0" borderId="37" xfId="0" applyFont="1" applyBorder="1" applyAlignment="1" applyProtection="1">
      <alignment horizontal="center" vertical="center" wrapText="1"/>
    </xf>
    <xf numFmtId="0" fontId="33" fillId="0" borderId="36" xfId="0" applyFont="1" applyBorder="1" applyAlignment="1" applyProtection="1">
      <alignment horizontal="center" vertical="center" wrapText="1"/>
    </xf>
    <xf numFmtId="0" fontId="33" fillId="0" borderId="37" xfId="0" applyFont="1" applyBorder="1" applyAlignment="1" applyProtection="1">
      <alignment horizontal="justify" vertical="center" wrapText="1"/>
    </xf>
    <xf numFmtId="0" fontId="33" fillId="0" borderId="36" xfId="0" applyFont="1" applyBorder="1" applyAlignment="1" applyProtection="1">
      <alignment horizontal="justify" vertical="center" wrapText="1"/>
    </xf>
    <xf numFmtId="2" fontId="33" fillId="0" borderId="37" xfId="0" applyNumberFormat="1" applyFont="1" applyBorder="1" applyAlignment="1" applyProtection="1">
      <alignment horizontal="center" vertical="center" wrapText="1"/>
    </xf>
    <xf numFmtId="2" fontId="33" fillId="0" borderId="36" xfId="0" applyNumberFormat="1" applyFont="1" applyBorder="1" applyAlignment="1" applyProtection="1">
      <alignment horizontal="center" vertical="center" wrapText="1"/>
    </xf>
    <xf numFmtId="0" fontId="20" fillId="0" borderId="15" xfId="0" applyFont="1" applyBorder="1" applyAlignment="1" applyProtection="1">
      <alignment horizontal="justify" vertical="center" wrapText="1"/>
    </xf>
    <xf numFmtId="3" fontId="20" fillId="0" borderId="7" xfId="0" applyNumberFormat="1" applyFont="1" applyBorder="1" applyAlignment="1" applyProtection="1">
      <alignment horizontal="justify" vertical="center" wrapText="1"/>
    </xf>
    <xf numFmtId="3" fontId="20" fillId="0" borderId="12" xfId="0" applyNumberFormat="1" applyFont="1" applyBorder="1" applyAlignment="1" applyProtection="1">
      <alignment horizontal="justify" vertical="center" wrapText="1"/>
    </xf>
    <xf numFmtId="3" fontId="20" fillId="0" borderId="4" xfId="0" applyNumberFormat="1" applyFont="1" applyBorder="1" applyAlignment="1" applyProtection="1">
      <alignment horizontal="justify" vertical="center" wrapText="1"/>
    </xf>
    <xf numFmtId="9" fontId="20" fillId="0" borderId="37" xfId="11" applyFont="1" applyBorder="1" applyAlignment="1" applyProtection="1">
      <alignment horizontal="center" vertical="center" wrapText="1"/>
    </xf>
    <xf numFmtId="9" fontId="20" fillId="0" borderId="36" xfId="11" applyFont="1" applyBorder="1" applyAlignment="1" applyProtection="1">
      <alignment horizontal="center" vertical="center" wrapText="1"/>
    </xf>
    <xf numFmtId="43" fontId="20" fillId="0" borderId="37" xfId="9" applyFont="1" applyBorder="1" applyAlignment="1" applyProtection="1">
      <alignment horizontal="center" vertical="center" wrapText="1"/>
    </xf>
    <xf numFmtId="43" fontId="20" fillId="0" borderId="36" xfId="9" applyFont="1" applyBorder="1" applyAlignment="1" applyProtection="1">
      <alignment horizontal="center" vertical="center" wrapText="1"/>
    </xf>
    <xf numFmtId="1" fontId="20" fillId="0" borderId="5" xfId="0" applyNumberFormat="1" applyFont="1" applyBorder="1" applyAlignment="1" applyProtection="1">
      <alignment horizontal="center" vertical="center"/>
    </xf>
    <xf numFmtId="1" fontId="20" fillId="0" borderId="14" xfId="0" applyNumberFormat="1" applyFont="1" applyBorder="1" applyAlignment="1" applyProtection="1">
      <alignment vertical="center" wrapText="1"/>
    </xf>
    <xf numFmtId="9" fontId="33" fillId="0" borderId="37" xfId="11" applyFont="1" applyBorder="1" applyAlignment="1" applyProtection="1">
      <alignment horizontal="center" vertical="center" wrapText="1"/>
    </xf>
    <xf numFmtId="9" fontId="33" fillId="0" borderId="36" xfId="11" applyFont="1" applyBorder="1" applyAlignment="1" applyProtection="1">
      <alignment horizontal="center" vertical="center" wrapText="1"/>
    </xf>
    <xf numFmtId="43" fontId="33" fillId="0" borderId="37" xfId="9" applyFont="1" applyBorder="1" applyAlignment="1" applyProtection="1">
      <alignment horizontal="center" vertical="center" wrapText="1"/>
    </xf>
    <xf numFmtId="43" fontId="33" fillId="0" borderId="36" xfId="9" applyFont="1" applyBorder="1" applyAlignment="1" applyProtection="1">
      <alignment horizontal="center" vertical="center" wrapText="1"/>
    </xf>
    <xf numFmtId="0" fontId="48" fillId="0" borderId="65" xfId="19" applyFont="1" applyBorder="1" applyAlignment="1" applyProtection="1">
      <alignment horizontal="justify" vertical="center" wrapText="1"/>
    </xf>
    <xf numFmtId="0" fontId="48" fillId="0" borderId="4" xfId="19" applyFont="1" applyBorder="1" applyAlignment="1" applyProtection="1">
      <alignment horizontal="justify" vertical="center" wrapText="1"/>
    </xf>
    <xf numFmtId="0" fontId="20" fillId="0" borderId="40" xfId="0" applyFont="1" applyBorder="1" applyAlignment="1" applyProtection="1">
      <alignment horizontal="center" vertical="center" wrapText="1"/>
    </xf>
    <xf numFmtId="0" fontId="20" fillId="0" borderId="37" xfId="0" applyFont="1" applyBorder="1" applyAlignment="1" applyProtection="1">
      <alignment horizontal="justify" vertical="center"/>
    </xf>
    <xf numFmtId="0" fontId="0" fillId="7" borderId="7" xfId="19" applyFont="1" applyFill="1" applyBorder="1" applyAlignment="1" applyProtection="1">
      <alignment horizontal="justify" vertical="center" wrapText="1"/>
    </xf>
    <xf numFmtId="0" fontId="0" fillId="7" borderId="4" xfId="19" applyFont="1" applyFill="1" applyBorder="1" applyAlignment="1" applyProtection="1">
      <alignment horizontal="justify" vertical="center" wrapText="1"/>
    </xf>
    <xf numFmtId="0" fontId="48" fillId="0" borderId="7" xfId="19" applyFont="1" applyBorder="1" applyAlignment="1" applyProtection="1">
      <alignment horizontal="justify" vertical="center" wrapText="1"/>
    </xf>
    <xf numFmtId="1" fontId="20" fillId="0" borderId="12" xfId="0" applyNumberFormat="1" applyFont="1" applyBorder="1" applyAlignment="1" applyProtection="1">
      <alignment horizontal="justify"/>
    </xf>
    <xf numFmtId="0" fontId="30" fillId="0" borderId="0" xfId="0" applyFont="1" applyAlignment="1" applyProtection="1">
      <alignment horizontal="justify" vertical="center" wrapText="1"/>
    </xf>
    <xf numFmtId="0" fontId="20" fillId="0" borderId="12" xfId="0" applyFont="1" applyBorder="1" applyAlignment="1" applyProtection="1">
      <alignment horizontal="justify"/>
    </xf>
    <xf numFmtId="0" fontId="20" fillId="0" borderId="0" xfId="0" applyFont="1" applyAlignment="1" applyProtection="1">
      <alignment horizontal="justify"/>
    </xf>
    <xf numFmtId="1" fontId="20" fillId="0" borderId="37" xfId="0" applyNumberFormat="1" applyFont="1" applyBorder="1" applyAlignment="1" applyProtection="1">
      <alignment horizontal="center" vertical="center" wrapText="1"/>
    </xf>
    <xf numFmtId="0" fontId="20" fillId="0" borderId="8" xfId="9" applyNumberFormat="1" applyFont="1" applyBorder="1" applyAlignment="1" applyProtection="1">
      <alignment horizontal="center" vertical="center"/>
    </xf>
    <xf numFmtId="0" fontId="20" fillId="0" borderId="13" xfId="9" applyNumberFormat="1" applyFont="1" applyBorder="1" applyAlignment="1" applyProtection="1">
      <alignment horizontal="center" vertical="center"/>
    </xf>
    <xf numFmtId="0" fontId="20" fillId="0" borderId="14" xfId="9" applyNumberFormat="1" applyFont="1" applyBorder="1" applyAlignment="1" applyProtection="1">
      <alignment horizontal="center" vertical="center"/>
    </xf>
    <xf numFmtId="0" fontId="16" fillId="0" borderId="8" xfId="0" applyFont="1" applyBorder="1" applyAlignment="1" applyProtection="1">
      <alignment horizontal="justify" vertical="center" wrapText="1"/>
    </xf>
    <xf numFmtId="0" fontId="16" fillId="0" borderId="14" xfId="0" applyFont="1" applyBorder="1" applyAlignment="1" applyProtection="1">
      <alignment horizontal="justify" vertical="center" wrapText="1"/>
    </xf>
    <xf numFmtId="0" fontId="16" fillId="0" borderId="4" xfId="0" applyFont="1" applyBorder="1" applyAlignment="1" applyProtection="1">
      <alignment horizontal="justify" vertical="center" wrapText="1"/>
    </xf>
    <xf numFmtId="0" fontId="16" fillId="0" borderId="7" xfId="0" applyFont="1" applyBorder="1" applyAlignment="1" applyProtection="1">
      <alignment horizontal="justify" vertical="center" wrapText="1"/>
    </xf>
    <xf numFmtId="0" fontId="16" fillId="0" borderId="13" xfId="0" applyFont="1" applyBorder="1" applyAlignment="1" applyProtection="1">
      <alignment horizontal="justify" vertical="center" wrapText="1"/>
    </xf>
    <xf numFmtId="0" fontId="20" fillId="0" borderId="11" xfId="9" applyNumberFormat="1" applyFont="1" applyBorder="1" applyAlignment="1" applyProtection="1">
      <alignment horizontal="center" vertical="center"/>
    </xf>
    <xf numFmtId="0" fontId="20" fillId="0" borderId="5" xfId="9" applyNumberFormat="1" applyFont="1" applyBorder="1" applyAlignment="1" applyProtection="1">
      <alignment horizontal="center" vertical="center"/>
    </xf>
    <xf numFmtId="1" fontId="20" fillId="0" borderId="8" xfId="0" applyNumberFormat="1" applyFont="1" applyBorder="1" applyAlignment="1" applyProtection="1">
      <alignment vertical="center" wrapText="1"/>
    </xf>
    <xf numFmtId="1" fontId="20" fillId="0" borderId="13" xfId="0" applyNumberFormat="1" applyFont="1" applyBorder="1" applyAlignment="1" applyProtection="1">
      <alignment vertical="center" wrapText="1"/>
    </xf>
    <xf numFmtId="1" fontId="20" fillId="0" borderId="36" xfId="0" applyNumberFormat="1" applyFont="1" applyBorder="1" applyAlignment="1" applyProtection="1">
      <alignment horizontal="center" vertical="center" wrapText="1"/>
    </xf>
    <xf numFmtId="1" fontId="20" fillId="0" borderId="38" xfId="0" applyNumberFormat="1" applyFont="1" applyBorder="1" applyAlignment="1" applyProtection="1">
      <alignment horizontal="center" vertical="center" wrapText="1"/>
    </xf>
    <xf numFmtId="0" fontId="20" fillId="0" borderId="4" xfId="0" applyFont="1" applyBorder="1" applyAlignment="1" applyProtection="1">
      <alignment horizontal="justify" vertical="center" wrapText="1"/>
    </xf>
    <xf numFmtId="0" fontId="20" fillId="0" borderId="7" xfId="0" applyFont="1" applyBorder="1" applyAlignment="1" applyProtection="1">
      <alignment horizontal="justify" vertical="center" wrapText="1"/>
    </xf>
    <xf numFmtId="0" fontId="20" fillId="0" borderId="5" xfId="0" applyFont="1" applyBorder="1" applyAlignment="1" applyProtection="1">
      <alignment horizontal="center" vertical="center" wrapText="1"/>
    </xf>
    <xf numFmtId="0" fontId="20" fillId="0" borderId="15" xfId="0" applyFont="1" applyBorder="1" applyAlignment="1" applyProtection="1">
      <alignment horizontal="center" vertical="center" wrapText="1"/>
    </xf>
    <xf numFmtId="0" fontId="20" fillId="0" borderId="14" xfId="0" applyFont="1" applyBorder="1" applyAlignment="1" applyProtection="1">
      <alignment horizontal="center" vertical="center" wrapText="1"/>
    </xf>
    <xf numFmtId="0" fontId="20" fillId="0" borderId="14" xfId="0" applyFont="1" applyBorder="1" applyAlignment="1" applyProtection="1">
      <alignment horizontal="justify" vertical="center"/>
    </xf>
    <xf numFmtId="0" fontId="20" fillId="0" borderId="1" xfId="0" applyFont="1" applyBorder="1" applyAlignment="1" applyProtection="1">
      <alignment horizontal="justify" vertical="center"/>
    </xf>
    <xf numFmtId="9" fontId="20" fillId="0" borderId="14" xfId="11" applyFont="1" applyBorder="1" applyAlignment="1" applyProtection="1">
      <alignment horizontal="center" vertical="center"/>
    </xf>
    <xf numFmtId="9" fontId="20" fillId="0" borderId="37" xfId="11" applyFont="1" applyBorder="1" applyAlignment="1" applyProtection="1">
      <alignment horizontal="center" vertical="center"/>
    </xf>
    <xf numFmtId="3" fontId="20" fillId="0" borderId="37" xfId="0" applyNumberFormat="1" applyFont="1" applyBorder="1" applyAlignment="1" applyProtection="1">
      <alignment horizontal="center" vertical="center"/>
    </xf>
    <xf numFmtId="0" fontId="16" fillId="0" borderId="37" xfId="0" applyFont="1" applyBorder="1" applyAlignment="1" applyProtection="1">
      <alignment horizontal="justify" vertical="center" wrapText="1"/>
    </xf>
    <xf numFmtId="43" fontId="20" fillId="0" borderId="64" xfId="9" applyFont="1" applyBorder="1" applyAlignment="1" applyProtection="1">
      <alignment horizontal="center" vertical="center"/>
    </xf>
    <xf numFmtId="43" fontId="20" fillId="0" borderId="66" xfId="9" applyFont="1" applyBorder="1" applyAlignment="1" applyProtection="1">
      <alignment horizontal="center" vertical="center"/>
    </xf>
    <xf numFmtId="0" fontId="20" fillId="0" borderId="46" xfId="0" applyFont="1" applyBorder="1" applyAlignment="1" applyProtection="1">
      <alignment horizontal="justify" vertical="center" wrapText="1"/>
    </xf>
    <xf numFmtId="167" fontId="20" fillId="0" borderId="8" xfId="9" applyNumberFormat="1" applyFont="1" applyBorder="1" applyAlignment="1" applyProtection="1">
      <alignment horizontal="center" vertical="center"/>
    </xf>
    <xf numFmtId="167" fontId="20" fillId="0" borderId="13" xfId="9" applyNumberFormat="1" applyFont="1" applyBorder="1" applyAlignment="1" applyProtection="1">
      <alignment horizontal="center" vertical="center"/>
    </xf>
    <xf numFmtId="167" fontId="20" fillId="0" borderId="14" xfId="9" applyNumberFormat="1" applyFont="1" applyBorder="1" applyAlignment="1" applyProtection="1">
      <alignment horizontal="center" vertical="center"/>
    </xf>
    <xf numFmtId="0" fontId="16" fillId="0" borderId="37" xfId="0" applyFont="1" applyBorder="1" applyAlignment="1" applyProtection="1">
      <alignment horizontal="center" vertical="center" wrapText="1"/>
    </xf>
    <xf numFmtId="0" fontId="16" fillId="0" borderId="46" xfId="0" applyFont="1" applyBorder="1" applyAlignment="1" applyProtection="1">
      <alignment horizontal="justify" vertical="center" wrapText="1"/>
    </xf>
    <xf numFmtId="0" fontId="16" fillId="7" borderId="1" xfId="0" applyFont="1" applyFill="1" applyBorder="1" applyAlignment="1" applyProtection="1">
      <alignment horizontal="justify" vertical="center"/>
    </xf>
    <xf numFmtId="1" fontId="16" fillId="0" borderId="1" xfId="0" applyNumberFormat="1" applyFont="1" applyBorder="1" applyAlignment="1" applyProtection="1">
      <alignment horizontal="center" vertical="center"/>
    </xf>
    <xf numFmtId="0" fontId="20" fillId="0" borderId="6" xfId="0" applyFont="1" applyBorder="1" applyAlignment="1" applyProtection="1">
      <alignment horizontal="center" vertical="center" wrapText="1"/>
    </xf>
    <xf numFmtId="2" fontId="20" fillId="0" borderId="1" xfId="0" applyNumberFormat="1" applyFont="1" applyBorder="1" applyAlignment="1" applyProtection="1">
      <alignment horizontal="center" vertical="center" wrapText="1"/>
    </xf>
    <xf numFmtId="2" fontId="20" fillId="0" borderId="8" xfId="0" applyNumberFormat="1" applyFont="1" applyBorder="1" applyAlignment="1" applyProtection="1">
      <alignment horizontal="center" vertical="center" wrapText="1"/>
    </xf>
    <xf numFmtId="165" fontId="20" fillId="0" borderId="14" xfId="0" applyNumberFormat="1" applyFont="1" applyBorder="1" applyAlignment="1" applyProtection="1">
      <alignment horizontal="center" vertical="center"/>
    </xf>
    <xf numFmtId="165" fontId="20" fillId="0" borderId="1" xfId="0" applyNumberFormat="1" applyFont="1" applyBorder="1" applyAlignment="1" applyProtection="1">
      <alignment horizontal="center" vertical="center"/>
    </xf>
    <xf numFmtId="10" fontId="20" fillId="0" borderId="8" xfId="11" applyNumberFormat="1" applyFont="1" applyBorder="1" applyAlignment="1" applyProtection="1">
      <alignment horizontal="center" vertical="center"/>
    </xf>
    <xf numFmtId="10" fontId="20" fillId="0" borderId="14" xfId="11" applyNumberFormat="1" applyFont="1" applyBorder="1" applyAlignment="1" applyProtection="1">
      <alignment horizontal="center" vertical="center"/>
    </xf>
    <xf numFmtId="0" fontId="16" fillId="0" borderId="8"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2" xfId="0" applyFont="1" applyBorder="1" applyAlignment="1" applyProtection="1">
      <alignment horizontal="justify" vertical="center" wrapText="1"/>
    </xf>
    <xf numFmtId="10" fontId="20" fillId="0" borderId="13" xfId="11" applyNumberFormat="1" applyFont="1" applyBorder="1" applyAlignment="1" applyProtection="1">
      <alignment horizontal="center" vertical="center"/>
    </xf>
    <xf numFmtId="0" fontId="18" fillId="7" borderId="39" xfId="25" applyFont="1" applyFill="1" applyBorder="1" applyAlignment="1" applyProtection="1">
      <alignment horizontal="justify" vertical="center" wrapText="1"/>
    </xf>
    <xf numFmtId="0" fontId="18" fillId="7" borderId="4" xfId="25" applyFont="1" applyFill="1" applyBorder="1" applyAlignment="1" applyProtection="1">
      <alignment horizontal="justify" vertical="center" wrapText="1"/>
    </xf>
    <xf numFmtId="0" fontId="16" fillId="7" borderId="8" xfId="25" applyFont="1" applyFill="1" applyBorder="1" applyAlignment="1" applyProtection="1">
      <alignment horizontal="justify" vertical="center" wrapText="1"/>
    </xf>
    <xf numFmtId="0" fontId="16" fillId="7" borderId="14" xfId="25" applyFont="1" applyFill="1" applyBorder="1" applyAlignment="1" applyProtection="1">
      <alignment horizontal="justify" vertical="center" wrapText="1"/>
    </xf>
    <xf numFmtId="0" fontId="20" fillId="0" borderId="8" xfId="0" applyFont="1" applyBorder="1" applyAlignment="1" applyProtection="1">
      <alignment horizontal="justify" vertical="center"/>
    </xf>
    <xf numFmtId="3" fontId="20" fillId="0" borderId="1" xfId="0" applyNumberFormat="1" applyFont="1" applyBorder="1" applyAlignment="1" applyProtection="1">
      <alignment horizontal="center" vertical="center" wrapText="1"/>
    </xf>
    <xf numFmtId="3" fontId="20" fillId="0" borderId="8" xfId="0" applyNumberFormat="1" applyFont="1" applyBorder="1" applyAlignment="1" applyProtection="1">
      <alignment horizontal="center" vertical="center" wrapText="1"/>
    </xf>
    <xf numFmtId="0" fontId="20" fillId="0" borderId="67" xfId="0" applyFont="1" applyBorder="1" applyAlignment="1" applyProtection="1">
      <alignment horizontal="justify" vertical="center" wrapText="1"/>
    </xf>
    <xf numFmtId="0" fontId="20" fillId="0" borderId="68" xfId="0" applyFont="1" applyBorder="1" applyAlignment="1" applyProtection="1">
      <alignment horizontal="justify" vertical="center" wrapText="1"/>
    </xf>
    <xf numFmtId="0" fontId="18" fillId="7" borderId="46" xfId="25" applyFont="1" applyFill="1" applyBorder="1" applyAlignment="1" applyProtection="1">
      <alignment horizontal="justify" vertical="center" wrapText="1"/>
    </xf>
    <xf numFmtId="0" fontId="18" fillId="7" borderId="37" xfId="25" applyFont="1" applyFill="1" applyBorder="1" applyAlignment="1" applyProtection="1">
      <alignment horizontal="justify" vertical="center" wrapText="1"/>
    </xf>
    <xf numFmtId="0" fontId="16" fillId="0" borderId="18" xfId="0" applyFont="1" applyBorder="1" applyAlignment="1" applyProtection="1">
      <alignment horizontal="center" vertical="center" wrapText="1"/>
    </xf>
    <xf numFmtId="0" fontId="16" fillId="0" borderId="18" xfId="0" applyFont="1" applyBorder="1" applyAlignment="1" applyProtection="1">
      <alignment horizontal="justify" vertical="center" wrapText="1"/>
    </xf>
    <xf numFmtId="10" fontId="20" fillId="0" borderId="18" xfId="11" applyNumberFormat="1" applyFont="1" applyBorder="1" applyAlignment="1" applyProtection="1">
      <alignment horizontal="center" vertical="center"/>
    </xf>
    <xf numFmtId="0" fontId="18" fillId="0" borderId="37" xfId="0" applyFont="1" applyBorder="1" applyAlignment="1" applyProtection="1">
      <alignment horizontal="center" vertical="center" wrapText="1"/>
    </xf>
    <xf numFmtId="10" fontId="20" fillId="0" borderId="8" xfId="4" applyNumberFormat="1" applyFont="1" applyBorder="1" applyAlignment="1" applyProtection="1">
      <alignment horizontal="center" vertical="center"/>
    </xf>
    <xf numFmtId="10" fontId="20" fillId="0" borderId="13" xfId="4" applyNumberFormat="1" applyFont="1" applyBorder="1" applyAlignment="1" applyProtection="1">
      <alignment horizontal="center" vertical="center"/>
    </xf>
    <xf numFmtId="10" fontId="20" fillId="0" borderId="14" xfId="4" applyNumberFormat="1" applyFont="1" applyBorder="1" applyAlignment="1" applyProtection="1">
      <alignment horizontal="center" vertical="center"/>
    </xf>
    <xf numFmtId="0" fontId="18" fillId="7" borderId="8" xfId="25" applyFont="1" applyFill="1" applyBorder="1" applyAlignment="1" applyProtection="1">
      <alignment horizontal="justify" vertical="center" wrapText="1"/>
    </xf>
    <xf numFmtId="0" fontId="18" fillId="7" borderId="14" xfId="25" applyFont="1" applyFill="1" applyBorder="1" applyAlignment="1" applyProtection="1">
      <alignment horizontal="justify" vertical="center" wrapText="1"/>
    </xf>
    <xf numFmtId="0" fontId="30" fillId="8" borderId="14" xfId="0" applyFont="1" applyFill="1" applyBorder="1" applyAlignment="1" applyProtection="1">
      <alignment horizontal="center" vertical="center" wrapText="1"/>
    </xf>
    <xf numFmtId="0" fontId="11" fillId="0" borderId="25" xfId="0" applyFont="1" applyBorder="1" applyAlignment="1" applyProtection="1">
      <alignment horizontal="center" vertical="center" wrapText="1"/>
    </xf>
    <xf numFmtId="0" fontId="11" fillId="0" borderId="26" xfId="0" applyFont="1" applyBorder="1" applyAlignment="1" applyProtection="1">
      <alignment horizontal="center" vertical="center" wrapText="1"/>
    </xf>
    <xf numFmtId="0" fontId="11" fillId="0" borderId="28" xfId="0" applyFont="1" applyBorder="1" applyAlignment="1" applyProtection="1">
      <alignment horizontal="center" vertical="center" wrapText="1"/>
    </xf>
    <xf numFmtId="0" fontId="11" fillId="0" borderId="29" xfId="0" applyFont="1" applyBorder="1" applyAlignment="1" applyProtection="1">
      <alignment horizontal="center" vertical="center" wrapText="1"/>
    </xf>
    <xf numFmtId="0" fontId="30" fillId="0" borderId="43" xfId="0" applyFont="1" applyBorder="1" applyAlignment="1" applyProtection="1">
      <alignment horizontal="center" vertical="center"/>
    </xf>
    <xf numFmtId="0" fontId="30" fillId="0" borderId="29" xfId="0" applyFont="1" applyBorder="1" applyAlignment="1" applyProtection="1">
      <alignment horizontal="center" vertical="center"/>
    </xf>
    <xf numFmtId="0" fontId="30" fillId="0" borderId="2" xfId="0" applyFont="1" applyBorder="1" applyAlignment="1" applyProtection="1">
      <alignment horizontal="center" vertical="center"/>
    </xf>
    <xf numFmtId="0" fontId="30" fillId="0" borderId="17" xfId="0" applyFont="1" applyBorder="1" applyAlignment="1" applyProtection="1">
      <alignment horizontal="center" vertical="center"/>
    </xf>
    <xf numFmtId="0" fontId="30" fillId="0" borderId="4" xfId="0" applyFont="1" applyBorder="1" applyAlignment="1" applyProtection="1">
      <alignment horizontal="center" vertical="center"/>
    </xf>
    <xf numFmtId="0" fontId="30" fillId="0" borderId="5" xfId="0" applyFont="1" applyBorder="1" applyAlignment="1" applyProtection="1">
      <alignment horizontal="center" vertical="center"/>
    </xf>
    <xf numFmtId="1" fontId="30" fillId="8" borderId="32" xfId="0" applyNumberFormat="1" applyFont="1" applyFill="1" applyBorder="1" applyAlignment="1" applyProtection="1">
      <alignment horizontal="center" vertical="center" wrapText="1"/>
    </xf>
    <xf numFmtId="1" fontId="30" fillId="8" borderId="33" xfId="0" applyNumberFormat="1" applyFont="1" applyFill="1" applyBorder="1" applyAlignment="1" applyProtection="1">
      <alignment horizontal="center" vertical="center" wrapText="1"/>
    </xf>
    <xf numFmtId="0" fontId="7" fillId="9" borderId="7" xfId="0" applyFont="1" applyFill="1" applyBorder="1" applyAlignment="1" applyProtection="1">
      <alignment horizontal="center" vertical="center" textRotation="90" wrapText="1"/>
    </xf>
    <xf numFmtId="0" fontId="7" fillId="9" borderId="4" xfId="0" applyFont="1" applyFill="1" applyBorder="1" applyAlignment="1" applyProtection="1">
      <alignment horizontal="center" vertical="center" textRotation="90" wrapText="1"/>
    </xf>
    <xf numFmtId="166" fontId="30" fillId="8" borderId="1" xfId="0" applyNumberFormat="1" applyFont="1" applyFill="1" applyBorder="1" applyAlignment="1" applyProtection="1">
      <alignment horizontal="center" vertical="center" wrapText="1"/>
    </xf>
    <xf numFmtId="3" fontId="30" fillId="8" borderId="51" xfId="0" applyNumberFormat="1" applyFont="1" applyFill="1" applyBorder="1" applyAlignment="1" applyProtection="1">
      <alignment horizontal="center" vertical="center" wrapText="1"/>
    </xf>
    <xf numFmtId="3" fontId="30" fillId="8" borderId="42" xfId="0" applyNumberFormat="1" applyFont="1" applyFill="1" applyBorder="1" applyAlignment="1" applyProtection="1">
      <alignment horizontal="center" vertical="center" wrapText="1"/>
    </xf>
    <xf numFmtId="0" fontId="20" fillId="0" borderId="8" xfId="0" applyFont="1" applyBorder="1" applyAlignment="1" applyProtection="1">
      <alignment horizontal="left" vertical="center" wrapText="1"/>
    </xf>
    <xf numFmtId="0" fontId="20" fillId="0" borderId="14" xfId="0" applyFont="1" applyBorder="1" applyAlignment="1" applyProtection="1">
      <alignment horizontal="left" vertical="center" wrapText="1"/>
    </xf>
    <xf numFmtId="165" fontId="30" fillId="8" borderId="14" xfId="0" applyNumberFormat="1" applyFont="1" applyFill="1" applyBorder="1" applyAlignment="1" applyProtection="1">
      <alignment horizontal="center" vertical="center" wrapText="1"/>
    </xf>
    <xf numFmtId="169" fontId="30" fillId="8" borderId="7" xfId="0" applyNumberFormat="1" applyFont="1" applyFill="1" applyBorder="1" applyAlignment="1" applyProtection="1">
      <alignment horizontal="center" vertical="center" wrapText="1"/>
    </xf>
    <xf numFmtId="169" fontId="30" fillId="8" borderId="12" xfId="0" applyNumberFormat="1" applyFont="1" applyFill="1" applyBorder="1" applyAlignment="1" applyProtection="1">
      <alignment horizontal="center" vertical="center" wrapText="1"/>
    </xf>
    <xf numFmtId="179" fontId="30" fillId="8" borderId="7" xfId="20" applyNumberFormat="1" applyFont="1" applyFill="1" applyBorder="1" applyAlignment="1" applyProtection="1">
      <alignment horizontal="center" vertical="center" wrapText="1"/>
    </xf>
    <xf numFmtId="179" fontId="30" fillId="8" borderId="12" xfId="20" applyNumberFormat="1" applyFont="1" applyFill="1" applyBorder="1" applyAlignment="1" applyProtection="1">
      <alignment horizontal="center" vertical="center" wrapText="1"/>
    </xf>
    <xf numFmtId="3" fontId="20" fillId="0" borderId="17" xfId="0" applyNumberFormat="1" applyFont="1" applyBorder="1" applyAlignment="1" applyProtection="1">
      <alignment horizontal="center" vertical="center" wrapText="1"/>
    </xf>
    <xf numFmtId="0" fontId="20" fillId="7" borderId="0" xfId="0" applyFont="1" applyFill="1" applyAlignment="1" applyProtection="1">
      <alignment horizontal="center" vertical="center" wrapText="1"/>
    </xf>
    <xf numFmtId="0" fontId="20" fillId="0" borderId="9" xfId="0" applyFont="1" applyBorder="1" applyAlignment="1" applyProtection="1">
      <alignment horizontal="center" vertical="center" wrapText="1"/>
    </xf>
    <xf numFmtId="9" fontId="20" fillId="0" borderId="1" xfId="4" applyFont="1" applyBorder="1" applyAlignment="1" applyProtection="1">
      <alignment horizontal="center" vertical="center" wrapText="1"/>
    </xf>
    <xf numFmtId="3" fontId="20" fillId="0" borderId="8" xfId="0" applyNumberFormat="1" applyFont="1" applyBorder="1" applyAlignment="1" applyProtection="1">
      <alignment horizontal="center" vertical="center"/>
    </xf>
    <xf numFmtId="3" fontId="20" fillId="0" borderId="13" xfId="0" applyNumberFormat="1" applyFont="1" applyBorder="1" applyAlignment="1" applyProtection="1">
      <alignment horizontal="center" vertical="center"/>
    </xf>
    <xf numFmtId="3" fontId="20" fillId="0" borderId="14" xfId="0" applyNumberFormat="1" applyFont="1" applyBorder="1" applyAlignment="1" applyProtection="1">
      <alignment horizontal="center" vertical="center"/>
    </xf>
    <xf numFmtId="164" fontId="20" fillId="0" borderId="8" xfId="0" applyNumberFormat="1" applyFont="1" applyBorder="1" applyAlignment="1" applyProtection="1">
      <alignment horizontal="center" vertical="center" wrapText="1"/>
    </xf>
    <xf numFmtId="164" fontId="20" fillId="0" borderId="13" xfId="0" applyNumberFormat="1" applyFont="1" applyBorder="1" applyAlignment="1" applyProtection="1">
      <alignment horizontal="center" vertical="center" wrapText="1"/>
    </xf>
    <xf numFmtId="164" fontId="20" fillId="0" borderId="14" xfId="0" applyNumberFormat="1" applyFont="1" applyBorder="1" applyAlignment="1" applyProtection="1">
      <alignment horizontal="center" vertical="center" wrapText="1"/>
    </xf>
    <xf numFmtId="3" fontId="20" fillId="0" borderId="6" xfId="0" applyNumberFormat="1" applyFont="1" applyBorder="1" applyAlignment="1" applyProtection="1">
      <alignment horizontal="center" vertical="center"/>
    </xf>
    <xf numFmtId="3" fontId="20" fillId="0" borderId="11" xfId="0" applyNumberFormat="1" applyFont="1" applyBorder="1" applyAlignment="1" applyProtection="1">
      <alignment horizontal="center" vertical="center"/>
    </xf>
    <xf numFmtId="43" fontId="20" fillId="0" borderId="1" xfId="1" applyFont="1" applyBorder="1" applyAlignment="1" applyProtection="1">
      <alignment horizontal="justify" vertical="center" wrapText="1"/>
    </xf>
    <xf numFmtId="9" fontId="20" fillId="0" borderId="8" xfId="4" applyFont="1" applyBorder="1" applyAlignment="1" applyProtection="1">
      <alignment horizontal="center" vertical="center" wrapText="1"/>
    </xf>
    <xf numFmtId="9" fontId="20" fillId="0" borderId="14" xfId="4" applyFont="1" applyBorder="1" applyAlignment="1" applyProtection="1">
      <alignment horizontal="center" vertical="center" wrapText="1"/>
    </xf>
    <xf numFmtId="3" fontId="8" fillId="7" borderId="8" xfId="0" applyNumberFormat="1" applyFont="1" applyFill="1" applyBorder="1" applyAlignment="1" applyProtection="1">
      <alignment horizontal="center" vertical="center" wrapText="1"/>
    </xf>
    <xf numFmtId="3" fontId="8" fillId="7" borderId="13" xfId="0" applyNumberFormat="1" applyFont="1" applyFill="1" applyBorder="1" applyAlignment="1" applyProtection="1">
      <alignment horizontal="center" vertical="center" wrapText="1"/>
    </xf>
    <xf numFmtId="3" fontId="8" fillId="7" borderId="6" xfId="0" applyNumberFormat="1" applyFont="1" applyFill="1" applyBorder="1" applyAlignment="1" applyProtection="1">
      <alignment horizontal="center" vertical="center" wrapText="1"/>
    </xf>
    <xf numFmtId="3" fontId="8" fillId="7" borderId="11" xfId="0" applyNumberFormat="1" applyFont="1" applyFill="1" applyBorder="1" applyAlignment="1" applyProtection="1">
      <alignment horizontal="center" vertical="center" wrapText="1"/>
    </xf>
    <xf numFmtId="43" fontId="20" fillId="0" borderId="1" xfId="1" applyFont="1" applyBorder="1" applyAlignment="1" applyProtection="1">
      <alignment horizontal="right" vertical="center" wrapText="1"/>
    </xf>
    <xf numFmtId="0" fontId="20" fillId="0" borderId="13" xfId="21" applyNumberFormat="1" applyFont="1" applyBorder="1" applyAlignment="1" applyProtection="1">
      <alignment horizontal="center" vertical="center" wrapText="1"/>
    </xf>
    <xf numFmtId="0" fontId="33" fillId="0" borderId="8" xfId="0" applyFont="1" applyBorder="1" applyAlignment="1" applyProtection="1">
      <alignment horizontal="left" vertical="center" wrapText="1" readingOrder="2"/>
    </xf>
    <xf numFmtId="0" fontId="33" fillId="0" borderId="14" xfId="0" applyFont="1" applyBorder="1" applyAlignment="1" applyProtection="1">
      <alignment horizontal="left" vertical="center" wrapText="1" readingOrder="2"/>
    </xf>
    <xf numFmtId="0" fontId="30" fillId="0" borderId="0" xfId="0" applyFont="1" applyAlignment="1" applyProtection="1">
      <alignment horizontal="center" vertical="center"/>
    </xf>
    <xf numFmtId="165" fontId="30" fillId="0" borderId="0" xfId="0" applyNumberFormat="1" applyFont="1" applyAlignment="1" applyProtection="1">
      <alignment horizontal="justify" vertical="center"/>
    </xf>
    <xf numFmtId="0" fontId="30" fillId="0" borderId="0" xfId="0" applyFont="1" applyAlignment="1" applyProtection="1">
      <alignment horizontal="justify"/>
    </xf>
    <xf numFmtId="164" fontId="20" fillId="0" borderId="1" xfId="0" applyNumberFormat="1" applyFont="1" applyBorder="1" applyAlignment="1" applyProtection="1">
      <alignment horizontal="center" vertical="center" wrapText="1"/>
    </xf>
    <xf numFmtId="3" fontId="20" fillId="0" borderId="16" xfId="0" applyNumberFormat="1" applyFont="1" applyBorder="1" applyAlignment="1" applyProtection="1">
      <alignment horizontal="center" vertical="center" wrapText="1"/>
    </xf>
    <xf numFmtId="0" fontId="20" fillId="0" borderId="18" xfId="0" applyFont="1" applyBorder="1" applyAlignment="1" applyProtection="1">
      <alignment horizontal="center" vertical="center" wrapText="1"/>
    </xf>
    <xf numFmtId="0" fontId="20" fillId="0" borderId="18" xfId="0" applyFont="1" applyBorder="1" applyAlignment="1" applyProtection="1">
      <alignment horizontal="left" vertical="center" wrapText="1"/>
    </xf>
    <xf numFmtId="9" fontId="20" fillId="0" borderId="18" xfId="4" applyFont="1" applyBorder="1" applyAlignment="1" applyProtection="1">
      <alignment horizontal="center" vertical="center" wrapText="1"/>
    </xf>
    <xf numFmtId="0" fontId="4" fillId="0" borderId="8" xfId="0" applyFont="1" applyBorder="1" applyAlignment="1" applyProtection="1">
      <alignment horizontal="left" vertical="center" wrapText="1"/>
    </xf>
    <xf numFmtId="0" fontId="4" fillId="0" borderId="18" xfId="0" applyFont="1" applyBorder="1" applyAlignment="1" applyProtection="1">
      <alignment horizontal="left" vertical="center" wrapText="1"/>
    </xf>
    <xf numFmtId="0" fontId="14" fillId="21" borderId="8" xfId="0" applyNumberFormat="1" applyFont="1" applyFill="1" applyBorder="1" applyAlignment="1" applyProtection="1">
      <alignment horizontal="center" vertical="center" wrapText="1"/>
    </xf>
    <xf numFmtId="0" fontId="14" fillId="21" borderId="13" xfId="0" applyNumberFormat="1" applyFont="1" applyFill="1" applyBorder="1" applyAlignment="1" applyProtection="1">
      <alignment horizontal="center" vertical="center" wrapText="1"/>
    </xf>
    <xf numFmtId="0" fontId="14" fillId="21" borderId="14" xfId="0" applyNumberFormat="1" applyFont="1" applyFill="1" applyBorder="1" applyAlignment="1" applyProtection="1">
      <alignment horizontal="center" vertical="center" wrapText="1"/>
    </xf>
    <xf numFmtId="0" fontId="2" fillId="0" borderId="25" xfId="0" applyNumberFormat="1" applyFont="1" applyFill="1" applyBorder="1" applyAlignment="1" applyProtection="1">
      <alignment horizontal="center" vertical="center" wrapText="1"/>
    </xf>
    <xf numFmtId="0" fontId="2" fillId="0" borderId="26" xfId="0" applyNumberFormat="1" applyFont="1" applyFill="1" applyBorder="1" applyAlignment="1" applyProtection="1">
      <alignment horizontal="center" vertical="center" wrapText="1"/>
    </xf>
    <xf numFmtId="0" fontId="2" fillId="0" borderId="28"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center" vertical="center" wrapText="1"/>
    </xf>
    <xf numFmtId="0" fontId="2" fillId="0" borderId="29"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xf>
    <xf numFmtId="0" fontId="14" fillId="0" borderId="9" xfId="0" applyNumberFormat="1" applyFont="1" applyFill="1" applyBorder="1" applyAlignment="1" applyProtection="1">
      <alignment horizontal="center" vertical="center"/>
    </xf>
    <xf numFmtId="0" fontId="14" fillId="0" borderId="10" xfId="0" applyNumberFormat="1" applyFont="1" applyFill="1" applyBorder="1" applyAlignment="1" applyProtection="1">
      <alignment horizontal="center" vertical="center"/>
    </xf>
    <xf numFmtId="0" fontId="14" fillId="0" borderId="15" xfId="0" applyNumberFormat="1"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xf>
    <xf numFmtId="0" fontId="14" fillId="0" borderId="5" xfId="0" applyNumberFormat="1" applyFont="1" applyFill="1" applyBorder="1" applyAlignment="1" applyProtection="1">
      <alignment horizontal="center" vertical="center"/>
    </xf>
    <xf numFmtId="1" fontId="14" fillId="21" borderId="6" xfId="0" applyNumberFormat="1" applyFont="1" applyFill="1" applyBorder="1" applyAlignment="1" applyProtection="1">
      <alignment horizontal="center" vertical="center" wrapText="1"/>
    </xf>
    <xf numFmtId="1" fontId="14" fillId="21" borderId="11" xfId="0" applyNumberFormat="1" applyFont="1" applyFill="1" applyBorder="1" applyAlignment="1" applyProtection="1">
      <alignment horizontal="center" vertical="center" wrapText="1"/>
    </xf>
    <xf numFmtId="0" fontId="14" fillId="21" borderId="7" xfId="0" applyNumberFormat="1" applyFont="1" applyFill="1" applyBorder="1" applyAlignment="1" applyProtection="1">
      <alignment horizontal="center" vertical="center" wrapText="1"/>
    </xf>
    <xf numFmtId="0" fontId="14" fillId="21" borderId="6" xfId="0" applyNumberFormat="1" applyFont="1" applyFill="1" applyBorder="1" applyAlignment="1" applyProtection="1">
      <alignment horizontal="center" vertical="center" wrapText="1"/>
    </xf>
    <xf numFmtId="0" fontId="14" fillId="21" borderId="12" xfId="0" applyNumberFormat="1" applyFont="1" applyFill="1" applyBorder="1" applyAlignment="1" applyProtection="1">
      <alignment horizontal="center" vertical="center" wrapText="1"/>
    </xf>
    <xf numFmtId="0" fontId="14" fillId="21" borderId="11" xfId="0" applyNumberFormat="1" applyFont="1" applyFill="1" applyBorder="1" applyAlignment="1" applyProtection="1">
      <alignment horizontal="center" vertical="center" wrapText="1"/>
    </xf>
    <xf numFmtId="0" fontId="43" fillId="22" borderId="8" xfId="0" applyNumberFormat="1" applyFont="1" applyFill="1" applyBorder="1" applyAlignment="1" applyProtection="1">
      <alignment horizontal="center" vertical="center" textRotation="90" wrapText="1"/>
    </xf>
    <xf numFmtId="0" fontId="43" fillId="22" borderId="14" xfId="0" applyNumberFormat="1" applyFont="1" applyFill="1" applyBorder="1" applyAlignment="1" applyProtection="1">
      <alignment horizontal="center" vertical="center" textRotation="90" wrapText="1"/>
    </xf>
    <xf numFmtId="166" fontId="14" fillId="21" borderId="7" xfId="0" applyNumberFormat="1" applyFont="1" applyFill="1" applyBorder="1" applyAlignment="1" applyProtection="1">
      <alignment horizontal="center" vertical="center" wrapText="1"/>
    </xf>
    <xf numFmtId="166" fontId="14" fillId="21" borderId="12" xfId="0" applyNumberFormat="1" applyFont="1" applyFill="1" applyBorder="1" applyAlignment="1" applyProtection="1">
      <alignment horizontal="center" vertical="center" wrapText="1"/>
    </xf>
    <xf numFmtId="3" fontId="14" fillId="21" borderId="8" xfId="0" applyNumberFormat="1" applyFont="1" applyFill="1" applyBorder="1" applyAlignment="1" applyProtection="1">
      <alignment horizontal="center" vertical="center" wrapText="1"/>
    </xf>
    <xf numFmtId="3" fontId="14" fillId="21" borderId="13" xfId="0" applyNumberFormat="1" applyFont="1" applyFill="1" applyBorder="1" applyAlignment="1" applyProtection="1">
      <alignment horizontal="center" vertical="center" wrapText="1"/>
    </xf>
    <xf numFmtId="1" fontId="14" fillId="20" borderId="7" xfId="0" applyNumberFormat="1" applyFont="1" applyFill="1" applyBorder="1" applyAlignment="1" applyProtection="1">
      <alignment horizontal="center" vertical="center" wrapText="1"/>
    </xf>
    <xf numFmtId="1" fontId="14" fillId="20" borderId="3" xfId="0" applyNumberFormat="1" applyFont="1" applyFill="1" applyBorder="1" applyAlignment="1" applyProtection="1">
      <alignment horizontal="center" vertical="center" wrapText="1"/>
    </xf>
    <xf numFmtId="1" fontId="14" fillId="20" borderId="6" xfId="0" applyNumberFormat="1" applyFont="1" applyFill="1" applyBorder="1" applyAlignment="1" applyProtection="1">
      <alignment horizontal="center" vertical="center" wrapText="1"/>
    </xf>
    <xf numFmtId="1" fontId="14" fillId="20" borderId="12" xfId="0" applyNumberFormat="1" applyFont="1" applyFill="1" applyBorder="1" applyAlignment="1" applyProtection="1">
      <alignment horizontal="center" vertical="center" wrapText="1"/>
    </xf>
    <xf numFmtId="1" fontId="14" fillId="20" borderId="0" xfId="0" applyNumberFormat="1" applyFont="1" applyFill="1" applyBorder="1" applyAlignment="1" applyProtection="1">
      <alignment horizontal="center" vertical="center" wrapText="1"/>
    </xf>
    <xf numFmtId="1" fontId="14" fillId="20" borderId="11" xfId="0" applyNumberFormat="1" applyFont="1" applyFill="1" applyBorder="1" applyAlignment="1" applyProtection="1">
      <alignment horizontal="center" vertical="center" wrapText="1"/>
    </xf>
    <xf numFmtId="1" fontId="14" fillId="20" borderId="4" xfId="0" applyNumberFormat="1" applyFont="1" applyFill="1" applyBorder="1" applyAlignment="1" applyProtection="1">
      <alignment horizontal="center" vertical="center" wrapText="1"/>
    </xf>
    <xf numFmtId="1" fontId="14" fillId="20" borderId="2" xfId="0" applyNumberFormat="1" applyFont="1" applyFill="1" applyBorder="1" applyAlignment="1" applyProtection="1">
      <alignment horizontal="center" vertical="center" wrapText="1"/>
    </xf>
    <xf numFmtId="1" fontId="14" fillId="20" borderId="5" xfId="0" applyNumberFormat="1" applyFont="1" applyFill="1" applyBorder="1" applyAlignment="1" applyProtection="1">
      <alignment horizontal="center" vertical="center" wrapText="1"/>
    </xf>
    <xf numFmtId="0" fontId="14" fillId="20" borderId="7" xfId="0" applyNumberFormat="1" applyFont="1" applyFill="1" applyBorder="1" applyAlignment="1" applyProtection="1">
      <alignment horizontal="center" vertical="center" wrapText="1"/>
    </xf>
    <xf numFmtId="0" fontId="14" fillId="20" borderId="3" xfId="0" applyNumberFormat="1" applyFont="1" applyFill="1" applyBorder="1" applyAlignment="1" applyProtection="1">
      <alignment horizontal="center" vertical="center" wrapText="1"/>
    </xf>
    <xf numFmtId="0" fontId="14" fillId="20" borderId="6" xfId="0" applyNumberFormat="1" applyFont="1" applyFill="1" applyBorder="1" applyAlignment="1" applyProtection="1">
      <alignment horizontal="center" vertical="center" wrapText="1"/>
    </xf>
    <xf numFmtId="0" fontId="14" fillId="20" borderId="12" xfId="0" applyNumberFormat="1" applyFont="1" applyFill="1" applyBorder="1" applyAlignment="1" applyProtection="1">
      <alignment horizontal="center" vertical="center" wrapText="1"/>
    </xf>
    <xf numFmtId="0" fontId="14" fillId="20" borderId="0" xfId="0" applyNumberFormat="1" applyFont="1" applyFill="1" applyBorder="1" applyAlignment="1" applyProtection="1">
      <alignment horizontal="center" vertical="center" wrapText="1"/>
    </xf>
    <xf numFmtId="0" fontId="14" fillId="20" borderId="11" xfId="0" applyNumberFormat="1" applyFont="1" applyFill="1" applyBorder="1" applyAlignment="1" applyProtection="1">
      <alignment horizontal="center" vertical="center" wrapText="1"/>
    </xf>
    <xf numFmtId="0" fontId="14" fillId="20" borderId="4" xfId="0" applyNumberFormat="1" applyFont="1" applyFill="1" applyBorder="1" applyAlignment="1" applyProtection="1">
      <alignment horizontal="center" vertical="center" wrapText="1"/>
    </xf>
    <xf numFmtId="0" fontId="14" fillId="20" borderId="2" xfId="0" applyNumberFormat="1" applyFont="1" applyFill="1" applyBorder="1" applyAlignment="1" applyProtection="1">
      <alignment horizontal="center" vertical="center" wrapText="1"/>
    </xf>
    <xf numFmtId="0" fontId="14" fillId="20" borderId="5" xfId="0" applyNumberFormat="1" applyFont="1" applyFill="1" applyBorder="1" applyAlignment="1" applyProtection="1">
      <alignment horizontal="center" vertical="center" wrapText="1"/>
    </xf>
    <xf numFmtId="0" fontId="35" fillId="20" borderId="7" xfId="0" applyNumberFormat="1" applyFont="1" applyFill="1" applyBorder="1" applyAlignment="1" applyProtection="1">
      <alignment horizontal="center" vertical="center" wrapText="1"/>
    </xf>
    <xf numFmtId="0" fontId="35" fillId="20" borderId="3" xfId="0" applyNumberFormat="1" applyFont="1" applyFill="1" applyBorder="1" applyAlignment="1" applyProtection="1">
      <alignment horizontal="center" vertical="center" wrapText="1"/>
    </xf>
    <xf numFmtId="0" fontId="35" fillId="20" borderId="6" xfId="0" applyNumberFormat="1" applyFont="1" applyFill="1" applyBorder="1" applyAlignment="1" applyProtection="1">
      <alignment horizontal="center" vertical="center" wrapText="1"/>
    </xf>
    <xf numFmtId="0" fontId="35" fillId="20" borderId="12" xfId="0" applyNumberFormat="1" applyFont="1" applyFill="1" applyBorder="1" applyAlignment="1" applyProtection="1">
      <alignment horizontal="center" vertical="center" wrapText="1"/>
    </xf>
    <xf numFmtId="0" fontId="35" fillId="20" borderId="0" xfId="0" applyNumberFormat="1" applyFont="1" applyFill="1" applyBorder="1" applyAlignment="1" applyProtection="1">
      <alignment horizontal="center" vertical="center" wrapText="1"/>
    </xf>
    <xf numFmtId="0" fontId="35" fillId="20" borderId="11" xfId="0" applyNumberFormat="1" applyFont="1" applyFill="1" applyBorder="1" applyAlignment="1" applyProtection="1">
      <alignment horizontal="center" vertical="center" wrapText="1"/>
    </xf>
    <xf numFmtId="0" fontId="35" fillId="20" borderId="4" xfId="0" applyNumberFormat="1" applyFont="1" applyFill="1" applyBorder="1" applyAlignment="1" applyProtection="1">
      <alignment horizontal="center" vertical="center" wrapText="1"/>
    </xf>
    <xf numFmtId="0" fontId="35" fillId="20" borderId="2" xfId="0" applyNumberFormat="1" applyFont="1" applyFill="1" applyBorder="1" applyAlignment="1" applyProtection="1">
      <alignment horizontal="center" vertical="center" wrapText="1"/>
    </xf>
    <xf numFmtId="0" fontId="35" fillId="20" borderId="5" xfId="0" applyNumberFormat="1" applyFont="1" applyFill="1" applyBorder="1" applyAlignment="1" applyProtection="1">
      <alignment horizontal="center" vertical="center" wrapText="1"/>
    </xf>
    <xf numFmtId="0" fontId="4" fillId="20" borderId="8" xfId="0" applyNumberFormat="1" applyFont="1" applyFill="1" applyBorder="1" applyAlignment="1" applyProtection="1">
      <alignment horizontal="center" vertical="center" wrapText="1"/>
    </xf>
    <xf numFmtId="0" fontId="4" fillId="20" borderId="13" xfId="0" applyNumberFormat="1" applyFont="1" applyFill="1" applyBorder="1" applyAlignment="1" applyProtection="1">
      <alignment horizontal="center" vertical="center" wrapText="1"/>
    </xf>
    <xf numFmtId="0" fontId="4" fillId="20" borderId="14" xfId="0" applyNumberFormat="1" applyFont="1" applyFill="1" applyBorder="1" applyAlignment="1" applyProtection="1">
      <alignment horizontal="center" vertical="center" wrapText="1"/>
    </xf>
    <xf numFmtId="0" fontId="8" fillId="20" borderId="8" xfId="0" applyNumberFormat="1" applyFont="1" applyFill="1" applyBorder="1" applyAlignment="1" applyProtection="1">
      <alignment horizontal="justify" vertical="center" wrapText="1"/>
    </xf>
    <xf numFmtId="0" fontId="8" fillId="20" borderId="13" xfId="0" applyNumberFormat="1" applyFont="1" applyFill="1" applyBorder="1" applyAlignment="1" applyProtection="1">
      <alignment horizontal="justify" vertical="center" wrapText="1"/>
    </xf>
    <xf numFmtId="0" fontId="8" fillId="20" borderId="14" xfId="0" applyNumberFormat="1" applyFont="1" applyFill="1" applyBorder="1" applyAlignment="1" applyProtection="1">
      <alignment horizontal="justify" vertical="center" wrapText="1"/>
    </xf>
    <xf numFmtId="44" fontId="14" fillId="21" borderId="8" xfId="0" applyNumberFormat="1" applyFont="1" applyFill="1" applyBorder="1" applyAlignment="1" applyProtection="1">
      <alignment horizontal="center" vertical="center" wrapText="1"/>
    </xf>
    <xf numFmtId="44" fontId="14" fillId="21" borderId="13" xfId="0" applyNumberFormat="1" applyFont="1" applyFill="1" applyBorder="1" applyAlignment="1" applyProtection="1">
      <alignment horizontal="center" vertical="center" wrapText="1"/>
    </xf>
    <xf numFmtId="3" fontId="43" fillId="22" borderId="9" xfId="0" applyNumberFormat="1" applyFont="1" applyFill="1" applyBorder="1" applyAlignment="1" applyProtection="1">
      <alignment horizontal="center" vertical="center" wrapText="1"/>
    </xf>
    <xf numFmtId="3" fontId="43" fillId="22" borderId="15" xfId="0" applyNumberFormat="1" applyFont="1" applyFill="1" applyBorder="1" applyAlignment="1" applyProtection="1">
      <alignment horizontal="center" vertical="center" wrapText="1"/>
    </xf>
    <xf numFmtId="0" fontId="43" fillId="22" borderId="9" xfId="0" applyNumberFormat="1" applyFont="1" applyFill="1" applyBorder="1" applyAlignment="1" applyProtection="1">
      <alignment horizontal="center" vertical="center" wrapText="1"/>
    </xf>
    <xf numFmtId="0" fontId="43" fillId="22" borderId="10" xfId="0" applyNumberFormat="1" applyFont="1" applyFill="1" applyBorder="1" applyAlignment="1" applyProtection="1">
      <alignment horizontal="center" vertical="center" wrapText="1"/>
    </xf>
    <xf numFmtId="0" fontId="43" fillId="22" borderId="15" xfId="0" applyNumberFormat="1" applyFont="1" applyFill="1" applyBorder="1" applyAlignment="1" applyProtection="1">
      <alignment horizontal="center" vertical="center" wrapText="1"/>
    </xf>
    <xf numFmtId="0" fontId="43" fillId="22" borderId="9" xfId="0" applyNumberFormat="1" applyFont="1" applyFill="1" applyBorder="1" applyAlignment="1" applyProtection="1">
      <alignment horizontal="center" vertical="center"/>
    </xf>
    <xf numFmtId="0" fontId="43" fillId="22" borderId="10" xfId="0" applyNumberFormat="1" applyFont="1" applyFill="1" applyBorder="1" applyAlignment="1" applyProtection="1">
      <alignment horizontal="center" vertical="center"/>
    </xf>
    <xf numFmtId="0" fontId="43" fillId="22" borderId="15" xfId="0" applyNumberFormat="1" applyFont="1" applyFill="1" applyBorder="1" applyAlignment="1" applyProtection="1">
      <alignment horizontal="center" vertical="center"/>
    </xf>
    <xf numFmtId="169" fontId="14" fillId="21" borderId="7" xfId="0" applyNumberFormat="1" applyFont="1" applyFill="1" applyBorder="1" applyAlignment="1" applyProtection="1">
      <alignment horizontal="center" vertical="center" wrapText="1"/>
    </xf>
    <xf numFmtId="169" fontId="14" fillId="21" borderId="12" xfId="0" applyNumberFormat="1" applyFont="1" applyFill="1" applyBorder="1" applyAlignment="1" applyProtection="1">
      <alignment horizontal="center" vertical="center" wrapText="1"/>
    </xf>
    <xf numFmtId="165" fontId="14" fillId="21" borderId="7" xfId="0" applyNumberFormat="1" applyFont="1" applyFill="1" applyBorder="1" applyAlignment="1" applyProtection="1">
      <alignment horizontal="center" vertical="center" wrapText="1"/>
    </xf>
    <xf numFmtId="165" fontId="14" fillId="21" borderId="12" xfId="0" applyNumberFormat="1" applyFont="1" applyFill="1" applyBorder="1" applyAlignment="1" applyProtection="1">
      <alignment horizontal="center" vertical="center" wrapText="1"/>
    </xf>
    <xf numFmtId="0" fontId="14" fillId="21" borderId="7" xfId="0" applyNumberFormat="1" applyFont="1" applyFill="1" applyBorder="1" applyAlignment="1" applyProtection="1">
      <alignment horizontal="justify" vertical="center" wrapText="1"/>
    </xf>
    <xf numFmtId="0" fontId="14" fillId="21" borderId="12" xfId="0" applyNumberFormat="1" applyFont="1" applyFill="1" applyBorder="1" applyAlignment="1" applyProtection="1">
      <alignment horizontal="justify" vertical="center" wrapText="1"/>
    </xf>
    <xf numFmtId="0" fontId="4" fillId="0" borderId="8" xfId="0" applyNumberFormat="1" applyFont="1" applyFill="1" applyBorder="1" applyAlignment="1" applyProtection="1">
      <alignment horizontal="justify" vertical="center" wrapText="1"/>
    </xf>
    <xf numFmtId="0" fontId="4" fillId="0" borderId="13" xfId="0" applyNumberFormat="1" applyFont="1" applyFill="1" applyBorder="1" applyAlignment="1" applyProtection="1">
      <alignment horizontal="justify" vertical="center" wrapText="1"/>
    </xf>
    <xf numFmtId="0" fontId="4" fillId="0" borderId="14" xfId="0" applyNumberFormat="1" applyFont="1" applyFill="1" applyBorder="1" applyAlignment="1" applyProtection="1">
      <alignment horizontal="justify" vertical="center" wrapText="1"/>
    </xf>
    <xf numFmtId="3" fontId="44" fillId="0" borderId="8" xfId="0" applyNumberFormat="1" applyFont="1" applyFill="1" applyBorder="1" applyAlignment="1" applyProtection="1">
      <alignment horizontal="center" vertical="center"/>
    </xf>
    <xf numFmtId="3" fontId="44" fillId="0" borderId="13" xfId="0" applyNumberFormat="1" applyFont="1" applyFill="1" applyBorder="1" applyAlignment="1" applyProtection="1">
      <alignment horizontal="center" vertical="center"/>
    </xf>
    <xf numFmtId="3" fontId="44" fillId="0" borderId="14" xfId="0" applyNumberFormat="1" applyFont="1" applyFill="1" applyBorder="1" applyAlignment="1" applyProtection="1">
      <alignment horizontal="center" vertical="center"/>
    </xf>
    <xf numFmtId="0" fontId="4" fillId="20" borderId="8" xfId="0" applyNumberFormat="1" applyFont="1" applyFill="1" applyBorder="1" applyAlignment="1" applyProtection="1">
      <alignment horizontal="justify" vertical="center" wrapText="1"/>
    </xf>
    <xf numFmtId="0" fontId="4" fillId="20" borderId="13" xfId="0" applyNumberFormat="1" applyFont="1" applyFill="1" applyBorder="1" applyAlignment="1" applyProtection="1">
      <alignment horizontal="justify" vertical="center" wrapText="1"/>
    </xf>
    <xf numFmtId="0" fontId="4" fillId="20" borderId="14" xfId="0" applyNumberFormat="1" applyFont="1" applyFill="1" applyBorder="1" applyAlignment="1" applyProtection="1">
      <alignment horizontal="justify" vertical="center" wrapText="1"/>
    </xf>
    <xf numFmtId="9" fontId="8" fillId="20" borderId="8" xfId="0" applyNumberFormat="1" applyFont="1" applyFill="1" applyBorder="1" applyAlignment="1" applyProtection="1">
      <alignment horizontal="center" vertical="center" wrapText="1"/>
    </xf>
    <xf numFmtId="9" fontId="8" fillId="20" borderId="13" xfId="0" applyNumberFormat="1" applyFont="1" applyFill="1" applyBorder="1" applyAlignment="1" applyProtection="1">
      <alignment horizontal="center" vertical="center" wrapText="1"/>
    </xf>
    <xf numFmtId="9" fontId="8" fillId="20" borderId="14" xfId="0" applyNumberFormat="1" applyFont="1" applyFill="1" applyBorder="1" applyAlignment="1" applyProtection="1">
      <alignment horizontal="center" vertical="center" wrapText="1"/>
    </xf>
    <xf numFmtId="43" fontId="4" fillId="20" borderId="8" xfId="1" applyFont="1" applyFill="1" applyBorder="1" applyAlignment="1" applyProtection="1">
      <alignment horizontal="center" vertical="center" wrapText="1"/>
    </xf>
    <xf numFmtId="43" fontId="4" fillId="20" borderId="13" xfId="1" applyFont="1" applyFill="1" applyBorder="1" applyAlignment="1" applyProtection="1">
      <alignment horizontal="center" vertical="center" wrapText="1"/>
    </xf>
    <xf numFmtId="43" fontId="4" fillId="20" borderId="14" xfId="1" applyFont="1" applyFill="1" applyBorder="1" applyAlignment="1" applyProtection="1">
      <alignment horizontal="center" vertical="center" wrapText="1"/>
    </xf>
    <xf numFmtId="14" fontId="44" fillId="0" borderId="8" xfId="0" applyNumberFormat="1" applyFont="1" applyFill="1" applyBorder="1" applyAlignment="1" applyProtection="1">
      <alignment horizontal="center" vertical="center"/>
    </xf>
    <xf numFmtId="14" fontId="44" fillId="0" borderId="13" xfId="0" applyNumberFormat="1" applyFont="1" applyFill="1" applyBorder="1" applyAlignment="1" applyProtection="1">
      <alignment horizontal="center" vertical="center"/>
    </xf>
    <xf numFmtId="14" fontId="44" fillId="0" borderId="14" xfId="0" applyNumberFormat="1" applyFont="1" applyFill="1" applyBorder="1" applyAlignment="1" applyProtection="1">
      <alignment horizontal="center" vertical="center"/>
    </xf>
    <xf numFmtId="3" fontId="35" fillId="20" borderId="8" xfId="0" applyNumberFormat="1" applyFont="1" applyFill="1" applyBorder="1" applyAlignment="1" applyProtection="1">
      <alignment horizontal="center" vertical="center" wrapText="1"/>
    </xf>
    <xf numFmtId="3" fontId="35" fillId="20" borderId="13" xfId="0" applyNumberFormat="1" applyFont="1" applyFill="1" applyBorder="1" applyAlignment="1" applyProtection="1">
      <alignment horizontal="center" vertical="center" wrapText="1"/>
    </xf>
    <xf numFmtId="3" fontId="35" fillId="20" borderId="14" xfId="0" applyNumberFormat="1" applyFont="1" applyFill="1" applyBorder="1" applyAlignment="1" applyProtection="1">
      <alignment horizontal="center" vertical="center" wrapText="1"/>
    </xf>
    <xf numFmtId="3" fontId="4" fillId="20" borderId="8" xfId="0" applyNumberFormat="1" applyFont="1" applyFill="1" applyBorder="1" applyAlignment="1" applyProtection="1">
      <alignment horizontal="left" vertical="center" wrapText="1"/>
    </xf>
    <xf numFmtId="3" fontId="4" fillId="20" borderId="14" xfId="0" applyNumberFormat="1" applyFont="1" applyFill="1" applyBorder="1" applyAlignment="1" applyProtection="1">
      <alignment horizontal="left" vertical="center" wrapText="1"/>
    </xf>
    <xf numFmtId="1" fontId="4" fillId="20" borderId="7" xfId="0" applyNumberFormat="1" applyFont="1" applyFill="1" applyBorder="1" applyAlignment="1" applyProtection="1">
      <alignment horizontal="center" vertical="center" wrapText="1"/>
    </xf>
    <xf numFmtId="1" fontId="4" fillId="20" borderId="3" xfId="0" applyNumberFormat="1" applyFont="1" applyFill="1" applyBorder="1" applyAlignment="1" applyProtection="1">
      <alignment horizontal="center" vertical="center" wrapText="1"/>
    </xf>
    <xf numFmtId="1" fontId="4" fillId="20" borderId="6" xfId="0" applyNumberFormat="1" applyFont="1" applyFill="1" applyBorder="1" applyAlignment="1" applyProtection="1">
      <alignment horizontal="center" vertical="center" wrapText="1"/>
    </xf>
    <xf numFmtId="1" fontId="4" fillId="20" borderId="4" xfId="0" applyNumberFormat="1" applyFont="1" applyFill="1" applyBorder="1" applyAlignment="1" applyProtection="1">
      <alignment horizontal="center" vertical="center" wrapText="1"/>
    </xf>
    <xf numFmtId="1" fontId="4" fillId="20" borderId="2" xfId="0" applyNumberFormat="1" applyFont="1" applyFill="1" applyBorder="1" applyAlignment="1" applyProtection="1">
      <alignment horizontal="center" vertical="center" wrapText="1"/>
    </xf>
    <xf numFmtId="1" fontId="4" fillId="20" borderId="5" xfId="0" applyNumberFormat="1" applyFont="1" applyFill="1" applyBorder="1" applyAlignment="1" applyProtection="1">
      <alignment horizontal="center" vertical="center" wrapText="1"/>
    </xf>
    <xf numFmtId="1" fontId="4" fillId="20" borderId="8" xfId="0" applyNumberFormat="1" applyFont="1" applyFill="1" applyBorder="1" applyAlignment="1" applyProtection="1">
      <alignment horizontal="center" vertical="center" wrapText="1"/>
    </xf>
    <xf numFmtId="1" fontId="4" fillId="20" borderId="14" xfId="0" applyNumberFormat="1" applyFont="1" applyFill="1" applyBorder="1" applyAlignment="1" applyProtection="1">
      <alignment horizontal="center" vertical="center" wrapText="1"/>
    </xf>
    <xf numFmtId="9" fontId="4" fillId="20" borderId="8" xfId="0" applyNumberFormat="1" applyFont="1" applyFill="1" applyBorder="1" applyAlignment="1" applyProtection="1">
      <alignment horizontal="center" vertical="center" wrapText="1"/>
    </xf>
    <xf numFmtId="9" fontId="4" fillId="20" borderId="14" xfId="0" applyNumberFormat="1" applyFont="1" applyFill="1" applyBorder="1" applyAlignment="1" applyProtection="1">
      <alignment horizontal="center" vertical="center" wrapText="1"/>
    </xf>
    <xf numFmtId="0" fontId="4" fillId="20" borderId="7" xfId="0" applyNumberFormat="1" applyFont="1" applyFill="1" applyBorder="1" applyAlignment="1" applyProtection="1">
      <alignment horizontal="justify" vertical="center" wrapText="1"/>
    </xf>
    <xf numFmtId="0" fontId="4" fillId="20" borderId="3" xfId="0" applyNumberFormat="1" applyFont="1" applyFill="1" applyBorder="1" applyAlignment="1" applyProtection="1">
      <alignment horizontal="justify" vertical="center" wrapText="1"/>
    </xf>
    <xf numFmtId="0" fontId="4" fillId="20" borderId="6" xfId="0" applyNumberFormat="1" applyFont="1" applyFill="1" applyBorder="1" applyAlignment="1" applyProtection="1">
      <alignment horizontal="justify" vertical="center" wrapText="1"/>
    </xf>
    <xf numFmtId="0" fontId="4" fillId="20" borderId="4" xfId="0" applyNumberFormat="1" applyFont="1" applyFill="1" applyBorder="1" applyAlignment="1" applyProtection="1">
      <alignment horizontal="justify" vertical="center" wrapText="1"/>
    </xf>
    <xf numFmtId="0" fontId="4" fillId="20" borderId="2" xfId="0" applyNumberFormat="1" applyFont="1" applyFill="1" applyBorder="1" applyAlignment="1" applyProtection="1">
      <alignment horizontal="justify" vertical="center" wrapText="1"/>
    </xf>
    <xf numFmtId="0" fontId="4" fillId="20" borderId="5" xfId="0" applyNumberFormat="1" applyFont="1" applyFill="1" applyBorder="1" applyAlignment="1" applyProtection="1">
      <alignment horizontal="justify" vertical="center" wrapText="1"/>
    </xf>
    <xf numFmtId="0" fontId="4" fillId="20" borderId="9" xfId="0" applyNumberFormat="1" applyFont="1" applyFill="1" applyBorder="1" applyAlignment="1" applyProtection="1">
      <alignment horizontal="center" vertical="center" wrapText="1"/>
    </xf>
    <xf numFmtId="0" fontId="4" fillId="20" borderId="10" xfId="0" applyNumberFormat="1" applyFont="1" applyFill="1" applyBorder="1" applyAlignment="1" applyProtection="1">
      <alignment horizontal="center" vertical="center" wrapText="1"/>
    </xf>
    <xf numFmtId="0" fontId="4" fillId="20" borderId="15" xfId="0" applyNumberFormat="1" applyFont="1" applyFill="1" applyBorder="1" applyAlignment="1" applyProtection="1">
      <alignment horizontal="center" vertical="center" wrapText="1"/>
    </xf>
    <xf numFmtId="0" fontId="4" fillId="20" borderId="7" xfId="0" applyNumberFormat="1" applyFont="1" applyFill="1" applyBorder="1" applyAlignment="1" applyProtection="1">
      <alignment horizontal="center" vertical="center" wrapText="1"/>
    </xf>
    <xf numFmtId="0" fontId="4" fillId="20" borderId="3" xfId="0" applyNumberFormat="1" applyFont="1" applyFill="1" applyBorder="1" applyAlignment="1" applyProtection="1">
      <alignment horizontal="center" vertical="center" wrapText="1"/>
    </xf>
    <xf numFmtId="0" fontId="4" fillId="20" borderId="6" xfId="0" applyNumberFormat="1" applyFont="1" applyFill="1" applyBorder="1" applyAlignment="1" applyProtection="1">
      <alignment horizontal="center" vertical="center" wrapText="1"/>
    </xf>
    <xf numFmtId="0" fontId="4" fillId="20" borderId="4" xfId="0" applyNumberFormat="1" applyFont="1" applyFill="1" applyBorder="1" applyAlignment="1" applyProtection="1">
      <alignment horizontal="center" vertical="center" wrapText="1"/>
    </xf>
    <xf numFmtId="0" fontId="4" fillId="20" borderId="2" xfId="0" applyNumberFormat="1" applyFont="1" applyFill="1" applyBorder="1" applyAlignment="1" applyProtection="1">
      <alignment horizontal="center" vertical="center" wrapText="1"/>
    </xf>
    <xf numFmtId="0" fontId="4" fillId="20" borderId="5" xfId="0" applyNumberFormat="1" applyFont="1" applyFill="1" applyBorder="1" applyAlignment="1" applyProtection="1">
      <alignment horizontal="center" vertical="center" wrapText="1"/>
    </xf>
    <xf numFmtId="0" fontId="8" fillId="20" borderId="7" xfId="0" applyNumberFormat="1" applyFont="1" applyFill="1" applyBorder="1" applyAlignment="1" applyProtection="1">
      <alignment horizontal="center" vertical="center" wrapText="1"/>
    </xf>
    <xf numFmtId="0" fontId="8" fillId="20" borderId="3" xfId="0" applyNumberFormat="1" applyFont="1" applyFill="1" applyBorder="1" applyAlignment="1" applyProtection="1">
      <alignment horizontal="center" vertical="center" wrapText="1"/>
    </xf>
    <xf numFmtId="0" fontId="8" fillId="20" borderId="6" xfId="0" applyNumberFormat="1" applyFont="1" applyFill="1" applyBorder="1" applyAlignment="1" applyProtection="1">
      <alignment horizontal="center" vertical="center" wrapText="1"/>
    </xf>
    <xf numFmtId="0" fontId="8" fillId="20" borderId="12" xfId="0" applyNumberFormat="1" applyFont="1" applyFill="1" applyBorder="1" applyAlignment="1" applyProtection="1">
      <alignment horizontal="center" vertical="center" wrapText="1"/>
    </xf>
    <xf numFmtId="0" fontId="8" fillId="20" borderId="0" xfId="0" applyNumberFormat="1" applyFont="1" applyFill="1" applyBorder="1" applyAlignment="1" applyProtection="1">
      <alignment horizontal="center" vertical="center" wrapText="1"/>
    </xf>
    <xf numFmtId="0" fontId="8" fillId="20" borderId="11" xfId="0" applyNumberFormat="1" applyFont="1" applyFill="1" applyBorder="1" applyAlignment="1" applyProtection="1">
      <alignment horizontal="center" vertical="center" wrapText="1"/>
    </xf>
    <xf numFmtId="0" fontId="8" fillId="20" borderId="4" xfId="0" applyNumberFormat="1" applyFont="1" applyFill="1" applyBorder="1" applyAlignment="1" applyProtection="1">
      <alignment horizontal="center" vertical="center" wrapText="1"/>
    </xf>
    <xf numFmtId="0" fontId="8" fillId="20" borderId="2" xfId="0" applyNumberFormat="1" applyFont="1" applyFill="1" applyBorder="1" applyAlignment="1" applyProtection="1">
      <alignment horizontal="center" vertical="center" wrapText="1"/>
    </xf>
    <xf numFmtId="0" fontId="8" fillId="20" borderId="5" xfId="0" applyNumberFormat="1" applyFont="1" applyFill="1" applyBorder="1" applyAlignment="1" applyProtection="1">
      <alignment horizontal="center" vertical="center" wrapText="1"/>
    </xf>
    <xf numFmtId="0" fontId="7" fillId="24" borderId="10" xfId="0" applyNumberFormat="1" applyFont="1" applyFill="1" applyBorder="1" applyAlignment="1" applyProtection="1">
      <alignment horizontal="left" vertical="center"/>
    </xf>
    <xf numFmtId="1" fontId="8" fillId="20" borderId="8" xfId="0" applyNumberFormat="1" applyFont="1" applyFill="1" applyBorder="1" applyAlignment="1" applyProtection="1">
      <alignment horizontal="center" vertical="center" wrapText="1"/>
    </xf>
    <xf numFmtId="1" fontId="8" fillId="20" borderId="13" xfId="0" applyNumberFormat="1" applyFont="1" applyFill="1" applyBorder="1" applyAlignment="1" applyProtection="1">
      <alignment horizontal="center" vertical="center" wrapText="1"/>
    </xf>
    <xf numFmtId="0" fontId="8" fillId="20" borderId="7" xfId="0" applyNumberFormat="1" applyFont="1" applyFill="1" applyBorder="1" applyAlignment="1" applyProtection="1">
      <alignment horizontal="justify" vertical="center" wrapText="1"/>
    </xf>
    <xf numFmtId="0" fontId="8" fillId="20" borderId="12" xfId="0" applyNumberFormat="1" applyFont="1" applyFill="1" applyBorder="1" applyAlignment="1" applyProtection="1">
      <alignment horizontal="justify" vertical="center" wrapText="1"/>
    </xf>
    <xf numFmtId="3" fontId="4" fillId="0" borderId="6" xfId="0" applyNumberFormat="1" applyFont="1" applyFill="1" applyBorder="1" applyAlignment="1" applyProtection="1">
      <alignment horizontal="center" vertical="center"/>
    </xf>
    <xf numFmtId="3" fontId="4" fillId="0" borderId="11" xfId="0" applyNumberFormat="1" applyFont="1" applyFill="1" applyBorder="1" applyAlignment="1" applyProtection="1">
      <alignment horizontal="center" vertical="center"/>
    </xf>
    <xf numFmtId="3" fontId="4" fillId="0" borderId="8" xfId="0" applyNumberFormat="1" applyFont="1" applyFill="1" applyBorder="1" applyAlignment="1" applyProtection="1">
      <alignment horizontal="center" vertical="center"/>
    </xf>
    <xf numFmtId="3" fontId="4" fillId="0" borderId="13" xfId="0" applyNumberFormat="1" applyFont="1" applyFill="1" applyBorder="1" applyAlignment="1" applyProtection="1">
      <alignment horizontal="center" vertical="center"/>
    </xf>
    <xf numFmtId="0" fontId="8" fillId="0" borderId="58" xfId="0" applyNumberFormat="1" applyFont="1" applyFill="1" applyBorder="1" applyAlignment="1" applyProtection="1">
      <alignment horizontal="left" vertical="center" wrapText="1"/>
    </xf>
    <xf numFmtId="0" fontId="8" fillId="0" borderId="14" xfId="0" applyNumberFormat="1" applyFont="1" applyFill="1" applyBorder="1" applyAlignment="1" applyProtection="1">
      <alignment horizontal="left" vertical="center" wrapText="1"/>
    </xf>
    <xf numFmtId="0" fontId="8" fillId="20" borderId="8" xfId="0" applyNumberFormat="1" applyFont="1" applyFill="1" applyBorder="1" applyAlignment="1" applyProtection="1">
      <alignment horizontal="center" vertical="center" wrapText="1"/>
    </xf>
    <xf numFmtId="0" fontId="8" fillId="20" borderId="13" xfId="0" applyNumberFormat="1" applyFont="1" applyFill="1" applyBorder="1" applyAlignment="1" applyProtection="1">
      <alignment horizontal="center" vertical="center" wrapText="1"/>
    </xf>
    <xf numFmtId="182" fontId="8" fillId="0" borderId="8" xfId="0" applyNumberFormat="1" applyFont="1" applyFill="1" applyBorder="1" applyAlignment="1" applyProtection="1">
      <alignment horizontal="center" vertical="center" wrapText="1"/>
    </xf>
    <xf numFmtId="182" fontId="8" fillId="0" borderId="13" xfId="0" applyNumberFormat="1" applyFont="1" applyFill="1" applyBorder="1" applyAlignment="1" applyProtection="1">
      <alignment horizontal="center" vertical="center" wrapText="1"/>
    </xf>
    <xf numFmtId="3" fontId="8" fillId="20" borderId="8" xfId="0" applyNumberFormat="1" applyFont="1" applyFill="1" applyBorder="1" applyAlignment="1" applyProtection="1">
      <alignment horizontal="center" vertical="center" wrapText="1"/>
    </xf>
    <xf numFmtId="3" fontId="8" fillId="20" borderId="13" xfId="0" applyNumberFormat="1" applyFont="1" applyFill="1" applyBorder="1" applyAlignment="1" applyProtection="1">
      <alignment horizontal="center" vertical="center" wrapText="1"/>
    </xf>
    <xf numFmtId="43" fontId="8" fillId="20" borderId="8" xfId="1" applyFont="1" applyFill="1" applyBorder="1" applyAlignment="1" applyProtection="1">
      <alignment horizontal="center" vertical="center" wrapText="1"/>
    </xf>
    <xf numFmtId="43" fontId="8" fillId="20" borderId="13" xfId="1" applyFont="1" applyFill="1" applyBorder="1" applyAlignment="1" applyProtection="1">
      <alignment horizontal="center" vertical="center" wrapText="1"/>
    </xf>
    <xf numFmtId="3" fontId="8" fillId="0" borderId="8" xfId="0" applyNumberFormat="1" applyFont="1" applyFill="1" applyBorder="1" applyAlignment="1" applyProtection="1">
      <alignment horizontal="center" vertical="center" wrapText="1"/>
    </xf>
    <xf numFmtId="3" fontId="8" fillId="0" borderId="13" xfId="0" applyNumberFormat="1" applyFont="1" applyFill="1" applyBorder="1" applyAlignment="1" applyProtection="1">
      <alignment horizontal="center" vertical="center" wrapText="1"/>
    </xf>
    <xf numFmtId="3" fontId="8" fillId="0" borderId="14"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left" vertical="center" wrapText="1"/>
    </xf>
    <xf numFmtId="0" fontId="8" fillId="0" borderId="8" xfId="0" applyNumberFormat="1" applyFont="1" applyFill="1" applyBorder="1" applyAlignment="1" applyProtection="1">
      <alignment horizontal="justify" vertical="center" wrapText="1"/>
    </xf>
    <xf numFmtId="0" fontId="8" fillId="0" borderId="14" xfId="0" applyNumberFormat="1" applyFont="1" applyFill="1" applyBorder="1" applyAlignment="1" applyProtection="1">
      <alignment horizontal="justify" vertical="center" wrapText="1"/>
    </xf>
    <xf numFmtId="0" fontId="8" fillId="0" borderId="8" xfId="0" applyNumberFormat="1" applyFont="1" applyFill="1" applyBorder="1" applyAlignment="1" applyProtection="1">
      <alignment horizontal="center" vertical="center" wrapText="1"/>
    </xf>
    <xf numFmtId="0" fontId="8" fillId="0" borderId="13"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10" fontId="8" fillId="20" borderId="8" xfId="0" applyNumberFormat="1" applyFont="1" applyFill="1" applyBorder="1" applyAlignment="1" applyProtection="1">
      <alignment horizontal="center" vertical="center" wrapText="1"/>
    </xf>
    <xf numFmtId="10" fontId="8" fillId="20" borderId="13" xfId="0" applyNumberFormat="1" applyFont="1" applyFill="1" applyBorder="1" applyAlignment="1" applyProtection="1">
      <alignment horizontal="center" vertical="center" wrapText="1"/>
    </xf>
    <xf numFmtId="10" fontId="8" fillId="20" borderId="14" xfId="0" applyNumberFormat="1" applyFont="1" applyFill="1" applyBorder="1" applyAlignment="1" applyProtection="1">
      <alignment horizontal="center" vertical="center" wrapText="1"/>
    </xf>
    <xf numFmtId="1" fontId="8" fillId="0" borderId="8" xfId="0" applyNumberFormat="1" applyFont="1" applyFill="1" applyBorder="1" applyAlignment="1" applyProtection="1">
      <alignment horizontal="center" vertical="center" wrapText="1"/>
    </xf>
    <xf numFmtId="1" fontId="8" fillId="0" borderId="13" xfId="0" applyNumberFormat="1" applyFont="1" applyFill="1" applyBorder="1" applyAlignment="1" applyProtection="1">
      <alignment horizontal="center" vertical="center" wrapText="1"/>
    </xf>
    <xf numFmtId="0" fontId="8" fillId="20" borderId="8" xfId="0" applyNumberFormat="1" applyFont="1" applyFill="1" applyBorder="1" applyAlignment="1" applyProtection="1">
      <alignment horizontal="left" vertical="center" wrapText="1"/>
    </xf>
    <xf numFmtId="0" fontId="8" fillId="20" borderId="14"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8" fillId="0" borderId="13" xfId="0" applyNumberFormat="1" applyFont="1" applyFill="1" applyBorder="1" applyAlignment="1" applyProtection="1">
      <alignment horizontal="justify" vertical="center" wrapText="1"/>
    </xf>
    <xf numFmtId="10" fontId="8" fillId="0" borderId="8" xfId="0" applyNumberFormat="1" applyFont="1" applyFill="1" applyBorder="1" applyAlignment="1" applyProtection="1">
      <alignment horizontal="center" vertical="center" wrapText="1"/>
    </xf>
    <xf numFmtId="10" fontId="8" fillId="0" borderId="13" xfId="0" applyNumberFormat="1" applyFont="1" applyFill="1" applyBorder="1" applyAlignment="1" applyProtection="1">
      <alignment horizontal="center" vertical="center" wrapText="1"/>
    </xf>
    <xf numFmtId="1" fontId="7" fillId="20" borderId="8" xfId="0" applyNumberFormat="1" applyFont="1" applyFill="1" applyBorder="1" applyAlignment="1" applyProtection="1">
      <alignment horizontal="center" vertical="center" wrapText="1"/>
    </xf>
    <xf numFmtId="1" fontId="7" fillId="20" borderId="13" xfId="0" applyNumberFormat="1" applyFont="1" applyFill="1" applyBorder="1" applyAlignment="1" applyProtection="1">
      <alignment horizontal="center" vertical="center" wrapText="1"/>
    </xf>
    <xf numFmtId="1" fontId="7" fillId="20" borderId="14" xfId="0" applyNumberFormat="1" applyFont="1" applyFill="1" applyBorder="1" applyAlignment="1" applyProtection="1">
      <alignment horizontal="center" vertical="center" wrapText="1"/>
    </xf>
    <xf numFmtId="0" fontId="8" fillId="0" borderId="7" xfId="0" applyNumberFormat="1" applyFont="1" applyFill="1" applyBorder="1" applyAlignment="1" applyProtection="1">
      <alignment horizontal="left" vertical="center" wrapText="1"/>
    </xf>
    <xf numFmtId="0" fontId="8" fillId="0" borderId="12" xfId="0" applyNumberFormat="1" applyFont="1" applyFill="1" applyBorder="1" applyAlignment="1" applyProtection="1">
      <alignment horizontal="left" vertical="center" wrapText="1"/>
    </xf>
    <xf numFmtId="0" fontId="8" fillId="0" borderId="4" xfId="0" applyNumberFormat="1" applyFont="1" applyFill="1" applyBorder="1" applyAlignment="1" applyProtection="1">
      <alignment horizontal="left" vertical="center" wrapText="1"/>
    </xf>
    <xf numFmtId="1" fontId="8" fillId="0" borderId="14"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7" fillId="0" borderId="10" xfId="0" applyNumberFormat="1" applyFont="1" applyFill="1" applyBorder="1" applyAlignment="1" applyProtection="1">
      <alignment horizontal="center" vertical="center" wrapText="1"/>
    </xf>
    <xf numFmtId="0" fontId="8" fillId="20" borderId="14" xfId="0" applyNumberFormat="1" applyFont="1" applyFill="1" applyBorder="1" applyAlignment="1" applyProtection="1">
      <alignment horizontal="center" vertical="center" wrapText="1"/>
    </xf>
    <xf numFmtId="0" fontId="7" fillId="20" borderId="8" xfId="0" applyNumberFormat="1" applyFont="1" applyFill="1" applyBorder="1" applyAlignment="1" applyProtection="1">
      <alignment horizontal="center" vertical="center"/>
    </xf>
    <xf numFmtId="0" fontId="7" fillId="20" borderId="13" xfId="0" applyNumberFormat="1" applyFont="1" applyFill="1" applyBorder="1" applyAlignment="1" applyProtection="1">
      <alignment horizontal="center" vertical="center"/>
    </xf>
    <xf numFmtId="0" fontId="8" fillId="20" borderId="1" xfId="0" applyNumberFormat="1" applyFont="1" applyFill="1" applyBorder="1" applyAlignment="1" applyProtection="1">
      <alignment horizontal="center" vertical="center" wrapText="1"/>
    </xf>
    <xf numFmtId="0" fontId="30" fillId="8" borderId="1" xfId="0" applyFont="1" applyFill="1" applyBorder="1" applyAlignment="1">
      <alignment horizontal="center" vertical="center" wrapText="1"/>
    </xf>
    <xf numFmtId="0" fontId="30" fillId="8" borderId="8" xfId="0" applyFont="1" applyFill="1" applyBorder="1" applyAlignment="1">
      <alignment horizontal="center" vertical="center" wrapText="1"/>
    </xf>
    <xf numFmtId="0" fontId="30" fillId="8" borderId="13" xfId="0" applyFont="1" applyFill="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2" xfId="0" applyFont="1" applyBorder="1" applyAlignment="1">
      <alignment horizontal="center" vertical="center" wrapText="1"/>
    </xf>
    <xf numFmtId="0" fontId="30" fillId="0" borderId="43" xfId="0" applyFont="1" applyBorder="1" applyAlignment="1">
      <alignment horizontal="center" vertical="center"/>
    </xf>
    <xf numFmtId="0" fontId="30" fillId="0" borderId="3" xfId="0" applyFont="1" applyBorder="1" applyAlignment="1">
      <alignment horizontal="center" vertical="center"/>
    </xf>
    <xf numFmtId="0" fontId="30" fillId="0" borderId="29" xfId="0" applyFont="1" applyBorder="1" applyAlignment="1">
      <alignment horizontal="center" vertical="center"/>
    </xf>
    <xf numFmtId="0" fontId="30" fillId="0" borderId="2" xfId="0" applyFont="1" applyBorder="1" applyAlignment="1">
      <alignment horizontal="center" vertical="center"/>
    </xf>
    <xf numFmtId="0" fontId="30" fillId="0" borderId="1" xfId="0" applyFont="1" applyBorder="1" applyAlignment="1">
      <alignment horizontal="center" vertical="center"/>
    </xf>
    <xf numFmtId="0" fontId="30" fillId="0" borderId="17" xfId="0" applyFont="1" applyBorder="1" applyAlignment="1">
      <alignment horizontal="center" vertical="center"/>
    </xf>
    <xf numFmtId="0" fontId="30" fillId="0" borderId="4" xfId="0" applyFont="1" applyBorder="1" applyAlignment="1">
      <alignment horizontal="center" vertical="center"/>
    </xf>
    <xf numFmtId="0" fontId="30" fillId="0" borderId="5" xfId="0" applyFont="1" applyBorder="1" applyAlignment="1">
      <alignment horizontal="center" vertical="center"/>
    </xf>
    <xf numFmtId="1" fontId="30" fillId="8" borderId="30" xfId="0" applyNumberFormat="1" applyFont="1" applyFill="1" applyBorder="1" applyAlignment="1">
      <alignment horizontal="center" vertical="center" wrapText="1"/>
    </xf>
    <xf numFmtId="0" fontId="27" fillId="9" borderId="1" xfId="0" applyFont="1" applyFill="1" applyBorder="1" applyAlignment="1">
      <alignment horizontal="center" vertical="center" wrapText="1"/>
    </xf>
    <xf numFmtId="0" fontId="27" fillId="9" borderId="8" xfId="0" applyFont="1" applyFill="1" applyBorder="1" applyAlignment="1">
      <alignment horizontal="center" vertical="center" textRotation="90" wrapText="1"/>
    </xf>
    <xf numFmtId="0" fontId="27" fillId="9" borderId="14" xfId="0" applyFont="1" applyFill="1" applyBorder="1" applyAlignment="1">
      <alignment horizontal="center" vertical="center" textRotation="90" wrapText="1"/>
    </xf>
    <xf numFmtId="166" fontId="30" fillId="8" borderId="7" xfId="0" applyNumberFormat="1" applyFont="1" applyFill="1" applyBorder="1" applyAlignment="1">
      <alignment horizontal="center" vertical="center" wrapText="1"/>
    </xf>
    <xf numFmtId="166" fontId="30" fillId="8" borderId="4" xfId="0" applyNumberFormat="1" applyFont="1" applyFill="1" applyBorder="1" applyAlignment="1">
      <alignment horizontal="center" vertical="center" wrapText="1"/>
    </xf>
    <xf numFmtId="3" fontId="30" fillId="8" borderId="17" xfId="0" applyNumberFormat="1" applyFont="1" applyFill="1" applyBorder="1" applyAlignment="1">
      <alignment horizontal="center" vertical="center" wrapText="1"/>
    </xf>
    <xf numFmtId="1" fontId="30" fillId="0" borderId="8" xfId="0" applyNumberFormat="1" applyFont="1" applyFill="1" applyBorder="1" applyAlignment="1">
      <alignment horizontal="center" vertical="center" wrapText="1"/>
    </xf>
    <xf numFmtId="1" fontId="30" fillId="0" borderId="13" xfId="0" applyNumberFormat="1" applyFont="1" applyFill="1" applyBorder="1" applyAlignment="1">
      <alignment horizontal="center" vertical="center" wrapText="1"/>
    </xf>
    <xf numFmtId="1" fontId="30" fillId="0" borderId="14" xfId="0" applyNumberFormat="1"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2" fillId="7" borderId="12"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5" xfId="0" applyFont="1" applyFill="1" applyBorder="1" applyAlignment="1">
      <alignment horizontal="center" vertical="center" wrapText="1"/>
    </xf>
    <xf numFmtId="3" fontId="13" fillId="7" borderId="8" xfId="23" applyNumberFormat="1" applyFont="1" applyFill="1" applyBorder="1" applyAlignment="1">
      <alignment horizontal="center" vertical="center" wrapText="1"/>
    </xf>
    <xf numFmtId="3" fontId="13" fillId="7" borderId="14" xfId="23" applyNumberFormat="1" applyFont="1" applyFill="1" applyBorder="1" applyAlignment="1">
      <alignment horizontal="center" vertical="center" wrapText="1"/>
    </xf>
    <xf numFmtId="183" fontId="13" fillId="7" borderId="8" xfId="23" applyFont="1" applyFill="1" applyBorder="1" applyAlignment="1">
      <alignment horizontal="justify" vertical="center" wrapText="1"/>
    </xf>
    <xf numFmtId="183" fontId="13" fillId="7" borderId="14" xfId="23" applyFont="1" applyFill="1" applyBorder="1" applyAlignment="1">
      <alignment horizontal="justify" vertical="center" wrapText="1"/>
    </xf>
    <xf numFmtId="165" fontId="30" fillId="8" borderId="8" xfId="0" applyNumberFormat="1" applyFont="1" applyFill="1" applyBorder="1" applyAlignment="1">
      <alignment horizontal="center" vertical="center" wrapText="1"/>
    </xf>
    <xf numFmtId="165" fontId="30" fillId="8" borderId="13" xfId="0" applyNumberFormat="1" applyFont="1" applyFill="1" applyBorder="1" applyAlignment="1">
      <alignment horizontal="center" vertical="center" wrapText="1"/>
    </xf>
    <xf numFmtId="1" fontId="30" fillId="8" borderId="1" xfId="0" applyNumberFormat="1" applyFont="1" applyFill="1" applyBorder="1" applyAlignment="1">
      <alignment horizontal="center" vertical="center" wrapText="1"/>
    </xf>
    <xf numFmtId="3" fontId="27" fillId="9" borderId="1" xfId="0" applyNumberFormat="1" applyFont="1" applyFill="1" applyBorder="1" applyAlignment="1">
      <alignment horizontal="center" vertical="center" wrapText="1"/>
    </xf>
    <xf numFmtId="0" fontId="27" fillId="9" borderId="1" xfId="0" applyFont="1" applyFill="1" applyBorder="1" applyAlignment="1">
      <alignment horizontal="center" vertical="center"/>
    </xf>
    <xf numFmtId="10" fontId="30" fillId="8" borderId="1" xfId="4" applyNumberFormat="1" applyFont="1" applyFill="1" applyBorder="1" applyAlignment="1">
      <alignment horizontal="center" vertical="center" wrapText="1"/>
    </xf>
    <xf numFmtId="165" fontId="30" fillId="8" borderId="1" xfId="0" applyNumberFormat="1" applyFont="1" applyFill="1" applyBorder="1" applyAlignment="1">
      <alignment horizontal="center" vertical="center" wrapText="1"/>
    </xf>
    <xf numFmtId="3" fontId="17" fillId="0" borderId="6" xfId="0" applyNumberFormat="1" applyFont="1" applyBorder="1" applyAlignment="1">
      <alignment horizontal="center" vertical="center"/>
    </xf>
    <xf numFmtId="3" fontId="17" fillId="0" borderId="11" xfId="0" applyNumberFormat="1" applyFont="1" applyBorder="1" applyAlignment="1">
      <alignment horizontal="center" vertical="center"/>
    </xf>
    <xf numFmtId="3" fontId="17" fillId="0" borderId="5" xfId="0" applyNumberFormat="1" applyFont="1" applyBorder="1" applyAlignment="1">
      <alignment horizontal="center" vertical="center"/>
    </xf>
    <xf numFmtId="3" fontId="17" fillId="0" borderId="8" xfId="0" applyNumberFormat="1" applyFont="1" applyBorder="1" applyAlignment="1">
      <alignment vertical="center"/>
    </xf>
    <xf numFmtId="3" fontId="17" fillId="0" borderId="13" xfId="0" applyNumberFormat="1" applyFont="1" applyBorder="1" applyAlignment="1">
      <alignment vertical="center"/>
    </xf>
    <xf numFmtId="3" fontId="17" fillId="0" borderId="14" xfId="0" applyNumberFormat="1" applyFont="1" applyBorder="1" applyAlignment="1">
      <alignment vertical="center"/>
    </xf>
    <xf numFmtId="0" fontId="18" fillId="7" borderId="8" xfId="0" applyFont="1" applyFill="1" applyBorder="1" applyAlignment="1">
      <alignment horizontal="justify" vertical="center" wrapText="1"/>
    </xf>
    <xf numFmtId="0" fontId="18" fillId="7" borderId="14" xfId="0" applyFont="1" applyFill="1" applyBorder="1" applyAlignment="1">
      <alignment horizontal="justify" vertical="center" wrapText="1"/>
    </xf>
    <xf numFmtId="0" fontId="13" fillId="7" borderId="8" xfId="0" applyFont="1" applyFill="1" applyBorder="1" applyAlignment="1">
      <alignment horizontal="justify" vertical="center" wrapText="1"/>
    </xf>
    <xf numFmtId="0" fontId="13" fillId="7" borderId="14" xfId="0" applyFont="1" applyFill="1" applyBorder="1" applyAlignment="1">
      <alignment horizontal="justify" vertical="center" wrapText="1"/>
    </xf>
    <xf numFmtId="183" fontId="13" fillId="0" borderId="8" xfId="23" applyFont="1" applyFill="1" applyBorder="1" applyAlignment="1">
      <alignment horizontal="left" vertical="center" wrapText="1"/>
    </xf>
    <xf numFmtId="183" fontId="13" fillId="0" borderId="14" xfId="23" applyFont="1" applyFill="1" applyBorder="1" applyAlignment="1">
      <alignment horizontal="left" vertical="center" wrapText="1"/>
    </xf>
    <xf numFmtId="3" fontId="13" fillId="0" borderId="8" xfId="23" applyNumberFormat="1" applyFont="1" applyBorder="1" applyAlignment="1">
      <alignment horizontal="center" vertical="center"/>
    </xf>
    <xf numFmtId="3" fontId="13" fillId="0" borderId="14" xfId="23" applyNumberFormat="1" applyFont="1" applyBorder="1" applyAlignment="1">
      <alignment horizontal="center" vertical="center"/>
    </xf>
    <xf numFmtId="183" fontId="13" fillId="7" borderId="6" xfId="23" applyFont="1" applyFill="1" applyBorder="1" applyAlignment="1">
      <alignment horizontal="center" vertical="center" wrapText="1"/>
    </xf>
    <xf numFmtId="183" fontId="13" fillId="7" borderId="11" xfId="23" applyFont="1" applyFill="1" applyBorder="1" applyAlignment="1">
      <alignment horizontal="center" vertical="center" wrapText="1"/>
    </xf>
    <xf numFmtId="49" fontId="13" fillId="0" borderId="6" xfId="23" applyNumberFormat="1" applyFont="1" applyFill="1" applyBorder="1" applyAlignment="1">
      <alignment horizontal="center" vertical="center" wrapText="1"/>
    </xf>
    <xf numFmtId="49" fontId="13" fillId="0" borderId="11" xfId="23" applyNumberFormat="1" applyFont="1" applyFill="1" applyBorder="1" applyAlignment="1">
      <alignment horizontal="center" vertical="center" wrapText="1"/>
    </xf>
    <xf numFmtId="183" fontId="13" fillId="7" borderId="7" xfId="23" applyFont="1" applyFill="1" applyBorder="1" applyAlignment="1">
      <alignment horizontal="justify" vertical="center" wrapText="1"/>
    </xf>
    <xf numFmtId="183" fontId="13" fillId="7" borderId="12" xfId="23" applyFont="1" applyFill="1" applyBorder="1" applyAlignment="1">
      <alignment horizontal="justify" vertical="center" wrapText="1"/>
    </xf>
    <xf numFmtId="10" fontId="16" fillId="7" borderId="8" xfId="4" applyNumberFormat="1" applyFont="1" applyFill="1" applyBorder="1" applyAlignment="1">
      <alignment horizontal="center" vertical="center" wrapText="1"/>
    </xf>
    <xf numFmtId="10" fontId="16" fillId="7" borderId="14" xfId="4" applyNumberFormat="1" applyFont="1" applyFill="1" applyBorder="1" applyAlignment="1">
      <alignment horizontal="center" vertical="center" wrapText="1"/>
    </xf>
    <xf numFmtId="3" fontId="13" fillId="0" borderId="1" xfId="0" applyNumberFormat="1" applyFont="1" applyBorder="1" applyAlignment="1">
      <alignment vertical="center"/>
    </xf>
    <xf numFmtId="3" fontId="0" fillId="0" borderId="1" xfId="0" applyNumberFormat="1" applyFont="1" applyBorder="1" applyAlignment="1">
      <alignment vertical="center"/>
    </xf>
    <xf numFmtId="3" fontId="13" fillId="0" borderId="8" xfId="0" applyNumberFormat="1" applyFont="1" applyBorder="1" applyAlignment="1">
      <alignment vertical="center"/>
    </xf>
    <xf numFmtId="3" fontId="13" fillId="0" borderId="13" xfId="0" applyNumberFormat="1" applyFont="1" applyBorder="1" applyAlignment="1">
      <alignment vertical="center"/>
    </xf>
    <xf numFmtId="3" fontId="13" fillId="0" borderId="14" xfId="0" applyNumberFormat="1" applyFont="1" applyBorder="1" applyAlignment="1">
      <alignment vertical="center"/>
    </xf>
    <xf numFmtId="0" fontId="13" fillId="0" borderId="1" xfId="0" applyFont="1" applyBorder="1" applyAlignment="1">
      <alignment horizontal="justify" vertical="center" wrapText="1"/>
    </xf>
    <xf numFmtId="0" fontId="0" fillId="0" borderId="1" xfId="0" applyFont="1" applyBorder="1" applyAlignment="1">
      <alignment horizontal="justify" vertical="center" wrapText="1"/>
    </xf>
    <xf numFmtId="0" fontId="13" fillId="7" borderId="12" xfId="0" applyFont="1" applyFill="1" applyBorder="1" applyAlignment="1">
      <alignment horizontal="center" vertical="center" wrapText="1"/>
    </xf>
    <xf numFmtId="0" fontId="13" fillId="7" borderId="0" xfId="0" applyFont="1" applyFill="1" applyAlignment="1">
      <alignment horizontal="center" vertical="center" wrapText="1"/>
    </xf>
    <xf numFmtId="3" fontId="13" fillId="7" borderId="1" xfId="23" applyNumberFormat="1" applyFont="1" applyFill="1" applyBorder="1" applyAlignment="1">
      <alignment horizontal="center" vertical="center" wrapText="1"/>
    </xf>
    <xf numFmtId="183" fontId="13" fillId="7" borderId="1" xfId="23" applyFont="1" applyFill="1" applyBorder="1" applyAlignment="1">
      <alignment horizontal="justify" vertical="center" wrapText="1"/>
    </xf>
    <xf numFmtId="183" fontId="13" fillId="0" borderId="1" xfId="23" applyFont="1" applyFill="1" applyBorder="1" applyAlignment="1">
      <alignment horizontal="justify" vertical="center" wrapText="1"/>
    </xf>
    <xf numFmtId="184" fontId="13" fillId="7" borderId="1" xfId="23" applyNumberFormat="1" applyFont="1" applyFill="1" applyBorder="1" applyAlignment="1">
      <alignment horizontal="center" vertical="center"/>
    </xf>
    <xf numFmtId="9" fontId="16" fillId="7" borderId="1" xfId="4" applyFont="1" applyFill="1" applyBorder="1" applyAlignment="1">
      <alignment horizontal="center" vertical="center" wrapText="1"/>
    </xf>
    <xf numFmtId="183" fontId="18" fillId="7" borderId="8" xfId="23" applyFont="1" applyFill="1" applyBorder="1" applyAlignment="1">
      <alignment horizontal="justify" vertical="center" wrapText="1"/>
    </xf>
    <xf numFmtId="183" fontId="18" fillId="7" borderId="14" xfId="23" applyFont="1" applyFill="1" applyBorder="1" applyAlignment="1">
      <alignment horizontal="justify" vertical="center" wrapText="1"/>
    </xf>
    <xf numFmtId="3" fontId="0" fillId="0" borderId="13" xfId="0" applyNumberFormat="1" applyFont="1" applyBorder="1" applyAlignment="1">
      <alignment vertical="center"/>
    </xf>
    <xf numFmtId="3" fontId="0" fillId="0" borderId="14" xfId="0" applyNumberFormat="1" applyFont="1" applyBorder="1" applyAlignment="1">
      <alignment vertical="center"/>
    </xf>
    <xf numFmtId="3" fontId="17" fillId="7" borderId="8" xfId="0" applyNumberFormat="1" applyFont="1" applyFill="1" applyBorder="1" applyAlignment="1">
      <alignment vertical="center"/>
    </xf>
    <xf numFmtId="3" fontId="17" fillId="7" borderId="13" xfId="0" applyNumberFormat="1" applyFont="1" applyFill="1" applyBorder="1" applyAlignment="1">
      <alignment vertical="center"/>
    </xf>
    <xf numFmtId="3" fontId="17" fillId="7" borderId="14" xfId="0" applyNumberFormat="1" applyFont="1" applyFill="1" applyBorder="1" applyAlignment="1">
      <alignment vertical="center"/>
    </xf>
    <xf numFmtId="3" fontId="17" fillId="7" borderId="8" xfId="0" applyNumberFormat="1" applyFont="1" applyFill="1" applyBorder="1" applyAlignment="1">
      <alignment vertical="center" wrapText="1"/>
    </xf>
    <xf numFmtId="3" fontId="17" fillId="7" borderId="13" xfId="0" applyNumberFormat="1" applyFont="1" applyFill="1" applyBorder="1" applyAlignment="1">
      <alignment vertical="center" wrapText="1"/>
    </xf>
    <xf numFmtId="3" fontId="17" fillId="7" borderId="14" xfId="0" applyNumberFormat="1" applyFont="1" applyFill="1" applyBorder="1" applyAlignment="1">
      <alignment vertical="center" wrapText="1"/>
    </xf>
    <xf numFmtId="3" fontId="17" fillId="0" borderId="1" xfId="0" applyNumberFormat="1" applyFont="1" applyBorder="1" applyAlignment="1">
      <alignment vertical="center"/>
    </xf>
    <xf numFmtId="43" fontId="13" fillId="7" borderId="8" xfId="1" applyFont="1" applyFill="1" applyBorder="1" applyAlignment="1">
      <alignment horizontal="center" vertical="center" wrapText="1"/>
    </xf>
    <xf numFmtId="43" fontId="13" fillId="7" borderId="13" xfId="1" applyFont="1" applyFill="1" applyBorder="1" applyAlignment="1">
      <alignment horizontal="center" vertical="center" wrapText="1"/>
    </xf>
    <xf numFmtId="43" fontId="13" fillId="7" borderId="14" xfId="1" applyFont="1" applyFill="1" applyBorder="1" applyAlignment="1">
      <alignment horizontal="center" vertical="center" wrapText="1"/>
    </xf>
    <xf numFmtId="3" fontId="13" fillId="0" borderId="1" xfId="23" applyNumberFormat="1" applyFont="1" applyBorder="1" applyAlignment="1">
      <alignment horizontal="center" vertical="center"/>
    </xf>
    <xf numFmtId="10" fontId="16" fillId="7" borderId="1" xfId="4" applyNumberFormat="1" applyFont="1" applyFill="1" applyBorder="1" applyAlignment="1">
      <alignment horizontal="center" vertical="center" wrapText="1"/>
    </xf>
    <xf numFmtId="3" fontId="13" fillId="7" borderId="13" xfId="23" applyNumberFormat="1" applyFont="1" applyFill="1" applyBorder="1" applyAlignment="1">
      <alignment horizontal="center" vertical="center" wrapText="1"/>
    </xf>
    <xf numFmtId="183" fontId="13" fillId="7" borderId="13" xfId="23" applyFont="1" applyFill="1" applyBorder="1" applyAlignment="1">
      <alignment horizontal="justify" vertical="center" wrapText="1"/>
    </xf>
    <xf numFmtId="183" fontId="13" fillId="0" borderId="8" xfId="23" applyFont="1" applyFill="1" applyBorder="1" applyAlignment="1">
      <alignment horizontal="center" vertical="center" wrapText="1"/>
    </xf>
    <xf numFmtId="183" fontId="13" fillId="0" borderId="13" xfId="23" applyFont="1" applyFill="1" applyBorder="1" applyAlignment="1">
      <alignment horizontal="center" vertical="center" wrapText="1"/>
    </xf>
    <xf numFmtId="183" fontId="13" fillId="0" borderId="14" xfId="23" applyFont="1" applyFill="1" applyBorder="1" applyAlignment="1">
      <alignment horizontal="center" vertical="center" wrapText="1"/>
    </xf>
    <xf numFmtId="3" fontId="13" fillId="0" borderId="13" xfId="23" applyNumberFormat="1" applyFont="1" applyBorder="1" applyAlignment="1">
      <alignment horizontal="center" vertical="center"/>
    </xf>
    <xf numFmtId="9" fontId="16" fillId="7" borderId="8" xfId="4" applyFont="1" applyFill="1" applyBorder="1" applyAlignment="1">
      <alignment horizontal="center" vertical="center" wrapText="1"/>
    </xf>
    <xf numFmtId="9" fontId="16" fillId="7" borderId="13" xfId="4" applyFont="1" applyFill="1" applyBorder="1" applyAlignment="1">
      <alignment horizontal="center" vertical="center" wrapText="1"/>
    </xf>
    <xf numFmtId="9" fontId="16" fillId="7" borderId="14" xfId="4" applyFont="1" applyFill="1" applyBorder="1" applyAlignment="1">
      <alignment horizontal="center" vertical="center" wrapText="1"/>
    </xf>
    <xf numFmtId="183" fontId="13" fillId="7" borderId="9" xfId="23" applyFont="1" applyFill="1" applyBorder="1" applyAlignment="1">
      <alignment horizontal="justify" vertical="center" wrapText="1"/>
    </xf>
    <xf numFmtId="1" fontId="30" fillId="7" borderId="11" xfId="23" applyNumberFormat="1" applyFont="1" applyFill="1" applyBorder="1" applyAlignment="1">
      <alignment horizontal="center" vertical="center" wrapText="1"/>
    </xf>
    <xf numFmtId="1" fontId="30" fillId="7" borderId="13" xfId="23" applyNumberFormat="1" applyFont="1" applyFill="1" applyBorder="1" applyAlignment="1">
      <alignment horizontal="center" vertical="center" wrapText="1"/>
    </xf>
    <xf numFmtId="1" fontId="30" fillId="7" borderId="5" xfId="23" applyNumberFormat="1" applyFont="1" applyFill="1" applyBorder="1" applyAlignment="1">
      <alignment horizontal="center" vertical="center" wrapText="1"/>
    </xf>
    <xf numFmtId="1" fontId="30" fillId="7" borderId="14" xfId="23" applyNumberFormat="1" applyFont="1" applyFill="1" applyBorder="1" applyAlignment="1">
      <alignment horizontal="center" vertical="center" wrapText="1"/>
    </xf>
    <xf numFmtId="1" fontId="16" fillId="7" borderId="8" xfId="24" applyNumberFormat="1" applyFont="1" applyFill="1" applyBorder="1" applyAlignment="1">
      <alignment horizontal="center" vertical="center" wrapText="1"/>
    </xf>
    <xf numFmtId="1" fontId="16" fillId="7" borderId="13" xfId="24" applyNumberFormat="1" applyFont="1" applyFill="1" applyBorder="1" applyAlignment="1">
      <alignment horizontal="center" vertical="center" wrapText="1"/>
    </xf>
    <xf numFmtId="1" fontId="16" fillId="7" borderId="14" xfId="24" applyNumberFormat="1" applyFont="1" applyFill="1" applyBorder="1" applyAlignment="1">
      <alignment horizontal="center" vertical="center" wrapText="1"/>
    </xf>
    <xf numFmtId="183" fontId="13" fillId="7" borderId="8" xfId="23" applyFont="1" applyFill="1" applyBorder="1" applyAlignment="1">
      <alignment horizontal="left" vertical="center" wrapText="1"/>
    </xf>
    <xf numFmtId="183" fontId="13" fillId="7" borderId="13" xfId="23" applyFont="1" applyFill="1" applyBorder="1" applyAlignment="1">
      <alignment horizontal="left" vertical="center" wrapText="1"/>
    </xf>
    <xf numFmtId="183" fontId="13" fillId="7" borderId="14" xfId="23" applyFont="1" applyFill="1" applyBorder="1" applyAlignment="1">
      <alignment horizontal="left" vertical="center" wrapText="1"/>
    </xf>
    <xf numFmtId="1" fontId="13" fillId="7" borderId="8" xfId="23" applyNumberFormat="1" applyFont="1" applyFill="1" applyBorder="1" applyAlignment="1">
      <alignment horizontal="center" vertical="center"/>
    </xf>
    <xf numFmtId="1" fontId="13" fillId="7" borderId="13" xfId="23" applyNumberFormat="1" applyFont="1" applyFill="1" applyBorder="1" applyAlignment="1">
      <alignment horizontal="center" vertical="center"/>
    </xf>
    <xf numFmtId="1" fontId="13" fillId="7" borderId="14" xfId="23" applyNumberFormat="1" applyFont="1" applyFill="1" applyBorder="1" applyAlignment="1">
      <alignment horizontal="center" vertical="center"/>
    </xf>
    <xf numFmtId="49" fontId="13" fillId="0" borderId="13" xfId="23" applyNumberFormat="1" applyFont="1" applyFill="1" applyBorder="1" applyAlignment="1">
      <alignment horizontal="center" vertical="center" wrapText="1"/>
    </xf>
    <xf numFmtId="1" fontId="12" fillId="7" borderId="1" xfId="23" applyNumberFormat="1" applyFont="1" applyFill="1" applyBorder="1" applyAlignment="1">
      <alignment horizontal="center" vertical="center" wrapText="1"/>
    </xf>
    <xf numFmtId="1" fontId="16" fillId="7" borderId="1" xfId="24" applyNumberFormat="1" applyFont="1" applyFill="1" applyBorder="1" applyAlignment="1">
      <alignment horizontal="center" vertical="center" wrapText="1"/>
    </xf>
    <xf numFmtId="183" fontId="13" fillId="0" borderId="1" xfId="23" applyFont="1" applyBorder="1" applyAlignment="1">
      <alignment horizontal="justify" vertical="center" wrapText="1"/>
    </xf>
    <xf numFmtId="3" fontId="13" fillId="0" borderId="8" xfId="0" applyNumberFormat="1" applyFont="1" applyBorder="1" applyAlignment="1">
      <alignment horizontal="center" vertical="center" wrapText="1"/>
    </xf>
    <xf numFmtId="3" fontId="13" fillId="0" borderId="13" xfId="0" applyNumberFormat="1" applyFont="1" applyBorder="1" applyAlignment="1">
      <alignment horizontal="center" vertical="center" wrapText="1"/>
    </xf>
    <xf numFmtId="3" fontId="13" fillId="0" borderId="14" xfId="0" applyNumberFormat="1" applyFont="1" applyBorder="1" applyAlignment="1">
      <alignment horizontal="center" vertical="center" wrapText="1"/>
    </xf>
    <xf numFmtId="10" fontId="16" fillId="7" borderId="13" xfId="4" applyNumberFormat="1" applyFont="1" applyFill="1" applyBorder="1" applyAlignment="1">
      <alignment horizontal="center" vertical="center" wrapText="1"/>
    </xf>
    <xf numFmtId="0" fontId="18" fillId="7" borderId="8" xfId="0" applyFont="1" applyFill="1" applyBorder="1" applyAlignment="1">
      <alignment horizontal="left" vertical="center" wrapText="1"/>
    </xf>
    <xf numFmtId="0" fontId="18" fillId="7" borderId="14" xfId="0" applyFont="1" applyFill="1" applyBorder="1" applyAlignment="1">
      <alignment horizontal="left" vertical="center" wrapText="1"/>
    </xf>
    <xf numFmtId="183" fontId="13" fillId="7" borderId="8" xfId="23" applyFont="1" applyFill="1" applyBorder="1" applyAlignment="1">
      <alignment horizontal="center" vertical="center" wrapText="1"/>
    </xf>
    <xf numFmtId="183" fontId="13" fillId="7" borderId="13" xfId="23" applyFont="1" applyFill="1" applyBorder="1" applyAlignment="1">
      <alignment horizontal="center" vertical="center" wrapText="1"/>
    </xf>
    <xf numFmtId="183" fontId="13" fillId="7" borderId="14" xfId="23" applyFont="1" applyFill="1" applyBorder="1" applyAlignment="1">
      <alignment horizontal="center" vertical="center" wrapText="1"/>
    </xf>
    <xf numFmtId="183" fontId="18" fillId="7" borderId="8" xfId="23" applyFont="1" applyFill="1" applyBorder="1" applyAlignment="1">
      <alignment horizontal="left" vertical="center" wrapText="1"/>
    </xf>
    <xf numFmtId="183" fontId="18" fillId="7" borderId="14" xfId="23" applyFont="1" applyFill="1" applyBorder="1" applyAlignment="1">
      <alignment horizontal="left" vertical="center" wrapText="1"/>
    </xf>
    <xf numFmtId="3" fontId="13" fillId="0" borderId="7" xfId="0" applyNumberFormat="1" applyFont="1" applyBorder="1" applyAlignment="1">
      <alignment horizontal="center" vertical="center" wrapText="1"/>
    </xf>
    <xf numFmtId="3" fontId="13"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wrapText="1"/>
    </xf>
    <xf numFmtId="3" fontId="0" fillId="0" borderId="4"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166" fontId="13" fillId="0" borderId="8" xfId="0" applyNumberFormat="1" applyFont="1" applyFill="1" applyBorder="1" applyAlignment="1">
      <alignment horizontal="justify" vertical="center" wrapText="1"/>
    </xf>
    <xf numFmtId="166" fontId="13" fillId="0" borderId="13" xfId="0" applyNumberFormat="1" applyFont="1" applyFill="1" applyBorder="1" applyAlignment="1">
      <alignment horizontal="justify" vertical="center" wrapText="1"/>
    </xf>
    <xf numFmtId="0" fontId="0" fillId="0" borderId="13" xfId="0" applyFont="1" applyBorder="1" applyAlignment="1">
      <alignment horizontal="justify" vertical="center"/>
    </xf>
    <xf numFmtId="0" fontId="0" fillId="0" borderId="14" xfId="0" applyFont="1" applyBorder="1" applyAlignment="1">
      <alignment horizontal="justify" vertical="center"/>
    </xf>
    <xf numFmtId="3" fontId="13" fillId="7" borderId="6" xfId="0" applyNumberFormat="1" applyFont="1" applyFill="1" applyBorder="1" applyAlignment="1">
      <alignment horizontal="center" vertical="center" wrapText="1"/>
    </xf>
    <xf numFmtId="3" fontId="13" fillId="7" borderId="11" xfId="0" applyNumberFormat="1" applyFont="1" applyFill="1" applyBorder="1" applyAlignment="1">
      <alignment horizontal="center" vertical="center" wrapText="1"/>
    </xf>
    <xf numFmtId="3" fontId="13" fillId="7" borderId="5" xfId="0" applyNumberFormat="1" applyFont="1" applyFill="1" applyBorder="1" applyAlignment="1">
      <alignment horizontal="center" vertical="center" wrapText="1"/>
    </xf>
    <xf numFmtId="3" fontId="13" fillId="7" borderId="8" xfId="0" applyNumberFormat="1" applyFont="1" applyFill="1" applyBorder="1" applyAlignment="1">
      <alignment horizontal="center" vertical="center" wrapText="1"/>
    </xf>
    <xf numFmtId="3" fontId="13" fillId="7" borderId="13" xfId="0" applyNumberFormat="1" applyFont="1" applyFill="1" applyBorder="1" applyAlignment="1">
      <alignment horizontal="center" vertical="center" wrapText="1"/>
    </xf>
    <xf numFmtId="3" fontId="13" fillId="7" borderId="14" xfId="0" applyNumberFormat="1" applyFont="1" applyFill="1" applyBorder="1" applyAlignment="1">
      <alignment horizontal="center" vertical="center" wrapText="1"/>
    </xf>
    <xf numFmtId="1" fontId="13" fillId="0" borderId="1" xfId="23" applyNumberFormat="1" applyFont="1" applyBorder="1" applyAlignment="1">
      <alignment horizontal="center" vertical="center"/>
    </xf>
    <xf numFmtId="9" fontId="13" fillId="7" borderId="1" xfId="4" applyNumberFormat="1" applyFont="1" applyFill="1" applyBorder="1" applyAlignment="1">
      <alignment horizontal="center" vertical="center" wrapText="1"/>
    </xf>
    <xf numFmtId="0" fontId="0" fillId="0" borderId="1" xfId="0" applyFont="1" applyBorder="1" applyAlignment="1">
      <alignment horizontal="center" vertical="center" wrapText="1"/>
    </xf>
    <xf numFmtId="3" fontId="13" fillId="0" borderId="7" xfId="0" applyNumberFormat="1" applyFont="1" applyBorder="1" applyAlignment="1">
      <alignment horizontal="center" vertical="center"/>
    </xf>
    <xf numFmtId="3" fontId="0" fillId="0" borderId="12" xfId="0" applyNumberFormat="1" applyFont="1" applyBorder="1" applyAlignment="1">
      <alignment horizontal="center" vertical="center"/>
    </xf>
    <xf numFmtId="3" fontId="0" fillId="0" borderId="4" xfId="0" applyNumberFormat="1" applyFont="1" applyBorder="1" applyAlignment="1">
      <alignment horizontal="center" vertical="center"/>
    </xf>
    <xf numFmtId="3" fontId="13" fillId="0" borderId="1" xfId="0" applyNumberFormat="1" applyFont="1" applyBorder="1" applyAlignment="1">
      <alignment horizontal="center" vertical="center"/>
    </xf>
    <xf numFmtId="3" fontId="0" fillId="0" borderId="1" xfId="0" applyNumberFormat="1" applyFont="1" applyBorder="1" applyAlignment="1">
      <alignment horizontal="center" vertical="center"/>
    </xf>
    <xf numFmtId="3" fontId="0" fillId="0" borderId="0" xfId="0" applyNumberFormat="1" applyFont="1" applyBorder="1" applyAlignment="1">
      <alignment horizontal="center" vertical="center"/>
    </xf>
    <xf numFmtId="3" fontId="0" fillId="0" borderId="2" xfId="0" applyNumberFormat="1" applyFont="1" applyBorder="1" applyAlignment="1">
      <alignment horizontal="center" vertical="center"/>
    </xf>
    <xf numFmtId="0" fontId="0" fillId="0" borderId="1" xfId="0" applyFont="1" applyBorder="1" applyAlignment="1">
      <alignment horizontal="center" vertical="center"/>
    </xf>
    <xf numFmtId="9" fontId="0" fillId="0" borderId="1" xfId="4" applyNumberFormat="1" applyFont="1" applyBorder="1" applyAlignment="1">
      <alignment horizontal="center" vertical="center" wrapText="1"/>
    </xf>
    <xf numFmtId="9" fontId="13" fillId="7" borderId="1" xfId="4" applyFont="1" applyFill="1" applyBorder="1" applyAlignment="1">
      <alignment horizontal="center" vertical="center" wrapText="1"/>
    </xf>
    <xf numFmtId="166" fontId="13" fillId="0" borderId="1" xfId="0" applyNumberFormat="1" applyFont="1" applyFill="1" applyBorder="1" applyAlignment="1">
      <alignment horizontal="justify" vertical="center" wrapText="1"/>
    </xf>
    <xf numFmtId="183" fontId="13" fillId="7" borderId="5" xfId="23" applyFont="1" applyFill="1" applyBorder="1" applyAlignment="1">
      <alignment horizontal="center" vertical="center" wrapText="1"/>
    </xf>
    <xf numFmtId="49" fontId="13" fillId="0" borderId="5" xfId="23" applyNumberFormat="1" applyFont="1" applyFill="1" applyBorder="1" applyAlignment="1">
      <alignment horizontal="center" vertical="center" wrapText="1"/>
    </xf>
    <xf numFmtId="183" fontId="13" fillId="7" borderId="4" xfId="23" applyFont="1" applyFill="1" applyBorder="1" applyAlignment="1">
      <alignment horizontal="justify" vertical="center" wrapText="1"/>
    </xf>
    <xf numFmtId="1" fontId="13" fillId="7" borderId="1" xfId="23" applyNumberFormat="1" applyFont="1" applyFill="1" applyBorder="1" applyAlignment="1">
      <alignment horizontal="center" vertical="center"/>
    </xf>
    <xf numFmtId="183" fontId="13" fillId="7" borderId="11" xfId="23" applyFont="1" applyFill="1" applyBorder="1" applyAlignment="1">
      <alignment horizontal="center" vertical="center"/>
    </xf>
    <xf numFmtId="49" fontId="13" fillId="0" borderId="8" xfId="23" applyNumberFormat="1" applyFont="1" applyFill="1" applyBorder="1" applyAlignment="1">
      <alignment horizontal="center" vertical="center" wrapText="1"/>
    </xf>
    <xf numFmtId="9" fontId="13" fillId="7" borderId="1" xfId="4" applyNumberFormat="1" applyFont="1" applyFill="1" applyBorder="1" applyAlignment="1">
      <alignment horizontal="center" vertical="center"/>
    </xf>
    <xf numFmtId="43" fontId="13" fillId="7" borderId="8" xfId="1" applyFont="1" applyFill="1" applyBorder="1" applyAlignment="1">
      <alignment horizontal="center" vertical="center"/>
    </xf>
    <xf numFmtId="43" fontId="13" fillId="7" borderId="13" xfId="1" applyFont="1" applyFill="1" applyBorder="1" applyAlignment="1">
      <alignment horizontal="center" vertical="center"/>
    </xf>
    <xf numFmtId="43" fontId="13" fillId="7" borderId="14" xfId="1" applyFont="1" applyFill="1" applyBorder="1" applyAlignment="1">
      <alignment horizontal="center" vertical="center"/>
    </xf>
    <xf numFmtId="0" fontId="0" fillId="0" borderId="1" xfId="0" applyFont="1" applyBorder="1" applyAlignment="1">
      <alignment horizontal="justify" vertical="center"/>
    </xf>
    <xf numFmtId="3" fontId="13" fillId="0" borderId="3" xfId="0" applyNumberFormat="1" applyFont="1" applyBorder="1" applyAlignment="1">
      <alignment horizontal="center" vertical="center"/>
    </xf>
    <xf numFmtId="0" fontId="13" fillId="7" borderId="8" xfId="0" applyFont="1" applyFill="1" applyBorder="1" applyAlignment="1">
      <alignment horizontal="left" vertical="center" wrapText="1"/>
    </xf>
    <xf numFmtId="0" fontId="13" fillId="7" borderId="14" xfId="0" applyFont="1" applyFill="1" applyBorder="1" applyAlignment="1">
      <alignment horizontal="left" vertical="center" wrapText="1"/>
    </xf>
    <xf numFmtId="3" fontId="13" fillId="7" borderId="1" xfId="23" applyNumberFormat="1" applyFont="1" applyFill="1" applyBorder="1" applyAlignment="1">
      <alignment horizontal="center" vertical="center"/>
    </xf>
    <xf numFmtId="9" fontId="13" fillId="7" borderId="1" xfId="4" applyFont="1" applyFill="1" applyBorder="1" applyAlignment="1">
      <alignment horizontal="center" vertical="center"/>
    </xf>
    <xf numFmtId="3" fontId="13" fillId="0" borderId="8" xfId="0" applyNumberFormat="1" applyFont="1" applyBorder="1" applyAlignment="1">
      <alignment horizontal="center" vertical="center"/>
    </xf>
    <xf numFmtId="3" fontId="13" fillId="0" borderId="13" xfId="0" applyNumberFormat="1" applyFont="1" applyBorder="1" applyAlignment="1">
      <alignment horizontal="center" vertical="center"/>
    </xf>
    <xf numFmtId="3" fontId="13" fillId="0" borderId="14" xfId="0" applyNumberFormat="1" applyFont="1" applyBorder="1" applyAlignment="1">
      <alignment horizontal="center" vertical="center"/>
    </xf>
    <xf numFmtId="0" fontId="13" fillId="7" borderId="11" xfId="23" applyNumberFormat="1" applyFont="1" applyFill="1" applyBorder="1" applyAlignment="1">
      <alignment horizontal="center" vertical="center" wrapText="1"/>
    </xf>
    <xf numFmtId="43" fontId="13" fillId="0" borderId="8" xfId="1" applyFont="1" applyFill="1" applyBorder="1" applyAlignment="1">
      <alignment horizontal="center" vertical="center"/>
    </xf>
    <xf numFmtId="43" fontId="13" fillId="0" borderId="13" xfId="1" applyFont="1" applyFill="1" applyBorder="1" applyAlignment="1">
      <alignment horizontal="center" vertical="center"/>
    </xf>
    <xf numFmtId="43" fontId="13" fillId="0" borderId="14" xfId="1" applyFont="1" applyFill="1" applyBorder="1" applyAlignment="1">
      <alignment horizontal="center" vertical="center"/>
    </xf>
    <xf numFmtId="3" fontId="13" fillId="0" borderId="1" xfId="23" applyNumberFormat="1" applyFont="1" applyFill="1" applyBorder="1" applyAlignment="1">
      <alignment horizontal="center" vertical="center"/>
    </xf>
    <xf numFmtId="9" fontId="13" fillId="0" borderId="1" xfId="4" applyFont="1" applyFill="1" applyBorder="1" applyAlignment="1">
      <alignment horizontal="center" vertical="center"/>
    </xf>
    <xf numFmtId="9" fontId="13" fillId="0" borderId="1" xfId="23" applyNumberFormat="1" applyFont="1" applyFill="1" applyBorder="1" applyAlignment="1">
      <alignment horizontal="justify" vertical="center" wrapText="1"/>
    </xf>
    <xf numFmtId="183" fontId="13" fillId="0" borderId="8" xfId="23" applyFont="1" applyBorder="1" applyAlignment="1">
      <alignment horizontal="left" vertical="center" wrapText="1"/>
    </xf>
    <xf numFmtId="183" fontId="13" fillId="0" borderId="14" xfId="23" applyFont="1" applyBorder="1" applyAlignment="1">
      <alignment horizontal="left" vertical="center" wrapText="1"/>
    </xf>
    <xf numFmtId="183" fontId="16" fillId="0" borderId="8" xfId="23" applyFont="1" applyFill="1" applyBorder="1" applyAlignment="1">
      <alignment horizontal="left" vertical="center" wrapText="1"/>
    </xf>
    <xf numFmtId="183" fontId="16" fillId="0" borderId="14" xfId="23" applyFont="1" applyFill="1" applyBorder="1" applyAlignment="1">
      <alignment horizontal="left" vertical="center" wrapText="1"/>
    </xf>
    <xf numFmtId="3" fontId="13" fillId="7" borderId="8" xfId="23" applyNumberFormat="1" applyFont="1" applyFill="1" applyBorder="1" applyAlignment="1">
      <alignment horizontal="center" vertical="center"/>
    </xf>
    <xf numFmtId="3" fontId="13" fillId="7" borderId="14" xfId="23" applyNumberFormat="1" applyFont="1" applyFill="1" applyBorder="1" applyAlignment="1">
      <alignment horizontal="center" vertical="center"/>
    </xf>
    <xf numFmtId="1" fontId="12" fillId="7" borderId="7" xfId="23" applyNumberFormat="1" applyFont="1" applyFill="1" applyBorder="1" applyAlignment="1">
      <alignment horizontal="center" vertical="center" wrapText="1"/>
    </xf>
    <xf numFmtId="1" fontId="12" fillId="7" borderId="3" xfId="23" applyNumberFormat="1" applyFont="1" applyFill="1" applyBorder="1" applyAlignment="1">
      <alignment horizontal="center" vertical="center" wrapText="1"/>
    </xf>
    <xf numFmtId="1" fontId="12" fillId="7" borderId="6" xfId="23" applyNumberFormat="1" applyFont="1" applyFill="1" applyBorder="1" applyAlignment="1">
      <alignment horizontal="center" vertical="center" wrapText="1"/>
    </xf>
    <xf numFmtId="1" fontId="12" fillId="7" borderId="12" xfId="23" applyNumberFormat="1" applyFont="1" applyFill="1" applyBorder="1" applyAlignment="1">
      <alignment horizontal="center" vertical="center" wrapText="1"/>
    </xf>
    <xf numFmtId="1" fontId="12" fillId="7" borderId="0" xfId="23" applyNumberFormat="1" applyFont="1" applyFill="1" applyBorder="1" applyAlignment="1">
      <alignment horizontal="center" vertical="center" wrapText="1"/>
    </xf>
    <xf numFmtId="1" fontId="12" fillId="7" borderId="11" xfId="23" applyNumberFormat="1" applyFont="1" applyFill="1" applyBorder="1" applyAlignment="1">
      <alignment horizontal="center" vertical="center" wrapText="1"/>
    </xf>
    <xf numFmtId="1" fontId="12" fillId="7" borderId="4" xfId="23" applyNumberFormat="1" applyFont="1" applyFill="1" applyBorder="1" applyAlignment="1">
      <alignment horizontal="center" vertical="center" wrapText="1"/>
    </xf>
    <xf numFmtId="1" fontId="12" fillId="7" borderId="2" xfId="23" applyNumberFormat="1" applyFont="1" applyFill="1" applyBorder="1" applyAlignment="1">
      <alignment horizontal="center" vertical="center" wrapText="1"/>
    </xf>
    <xf numFmtId="1" fontId="12" fillId="7" borderId="5" xfId="23" applyNumberFormat="1" applyFont="1" applyFill="1" applyBorder="1" applyAlignment="1">
      <alignment horizontal="center" vertical="center" wrapText="1"/>
    </xf>
    <xf numFmtId="3" fontId="13" fillId="7" borderId="13" xfId="23" applyNumberFormat="1" applyFont="1" applyFill="1" applyBorder="1" applyAlignment="1">
      <alignment horizontal="center" vertical="center"/>
    </xf>
    <xf numFmtId="183" fontId="13" fillId="7" borderId="8" xfId="23" applyFont="1" applyFill="1" applyBorder="1" applyAlignment="1">
      <alignment horizontal="center" vertical="center" wrapText="1" shrinkToFit="1"/>
    </xf>
    <xf numFmtId="183" fontId="13" fillId="7" borderId="13" xfId="23" applyFont="1" applyFill="1" applyBorder="1" applyAlignment="1">
      <alignment horizontal="center" vertical="center" wrapText="1" shrinkToFit="1"/>
    </xf>
    <xf numFmtId="183" fontId="13" fillId="7" borderId="14" xfId="23" applyFont="1" applyFill="1" applyBorder="1" applyAlignment="1">
      <alignment horizontal="center" vertical="center" wrapText="1" shrinkToFit="1"/>
    </xf>
    <xf numFmtId="0" fontId="9" fillId="7" borderId="8" xfId="0" applyFont="1" applyFill="1" applyBorder="1" applyAlignment="1">
      <alignment horizontal="left" vertical="center" wrapText="1"/>
    </xf>
    <xf numFmtId="0" fontId="9" fillId="7" borderId="14" xfId="0" applyFont="1" applyFill="1" applyBorder="1" applyAlignment="1">
      <alignment horizontal="left" vertical="center" wrapText="1"/>
    </xf>
    <xf numFmtId="183" fontId="13" fillId="7" borderId="13" xfId="23" applyFont="1" applyFill="1" applyBorder="1" applyAlignment="1">
      <alignment horizontal="center" vertical="center"/>
    </xf>
    <xf numFmtId="9" fontId="13" fillId="7" borderId="8" xfId="4" applyFont="1" applyFill="1" applyBorder="1" applyAlignment="1">
      <alignment horizontal="center" vertical="center"/>
    </xf>
    <xf numFmtId="9" fontId="13" fillId="7" borderId="13" xfId="4" applyFont="1" applyFill="1" applyBorder="1" applyAlignment="1">
      <alignment horizontal="center" vertical="center"/>
    </xf>
    <xf numFmtId="9" fontId="13" fillId="7" borderId="14" xfId="4" applyFont="1" applyFill="1" applyBorder="1" applyAlignment="1">
      <alignment horizontal="center" vertical="center"/>
    </xf>
    <xf numFmtId="166" fontId="13" fillId="0" borderId="14" xfId="0" applyNumberFormat="1" applyFont="1" applyFill="1" applyBorder="1" applyAlignment="1">
      <alignment horizontal="justify" vertical="center" wrapText="1"/>
    </xf>
    <xf numFmtId="0" fontId="47" fillId="7" borderId="8" xfId="0" applyFont="1" applyFill="1" applyBorder="1" applyAlignment="1">
      <alignment horizontal="left" vertical="center" wrapText="1"/>
    </xf>
    <xf numFmtId="0" fontId="47" fillId="7" borderId="14" xfId="0" applyFont="1" applyFill="1" applyBorder="1" applyAlignment="1">
      <alignment horizontal="left" vertical="center" wrapText="1"/>
    </xf>
    <xf numFmtId="0" fontId="47" fillId="0" borderId="8" xfId="0" applyFont="1" applyFill="1" applyBorder="1" applyAlignment="1">
      <alignment horizontal="justify" vertical="center" wrapText="1"/>
    </xf>
    <xf numFmtId="0" fontId="47" fillId="0" borderId="14" xfId="0" applyFont="1" applyFill="1" applyBorder="1" applyAlignment="1">
      <alignment horizontal="justify" vertical="center" wrapText="1"/>
    </xf>
    <xf numFmtId="185" fontId="13" fillId="7" borderId="8" xfId="23" applyNumberFormat="1" applyFont="1" applyFill="1" applyBorder="1" applyAlignment="1">
      <alignment horizontal="center" vertical="center"/>
    </xf>
    <xf numFmtId="185" fontId="13" fillId="7" borderId="13" xfId="23" applyNumberFormat="1" applyFont="1" applyFill="1" applyBorder="1" applyAlignment="1">
      <alignment horizontal="center" vertical="center"/>
    </xf>
    <xf numFmtId="185" fontId="13" fillId="7" borderId="14" xfId="23" applyNumberFormat="1" applyFont="1" applyFill="1" applyBorder="1" applyAlignment="1">
      <alignment horizontal="center" vertical="center"/>
    </xf>
    <xf numFmtId="0" fontId="13" fillId="0" borderId="1" xfId="0" applyFont="1" applyBorder="1" applyAlignment="1">
      <alignment horizontal="center"/>
    </xf>
    <xf numFmtId="183" fontId="13" fillId="7" borderId="14" xfId="23" applyFont="1" applyFill="1" applyBorder="1" applyAlignment="1">
      <alignment horizontal="center" vertical="center"/>
    </xf>
    <xf numFmtId="49" fontId="13" fillId="0" borderId="14" xfId="23" applyNumberFormat="1" applyFont="1" applyFill="1" applyBorder="1" applyAlignment="1">
      <alignment horizontal="center" vertical="center" wrapText="1"/>
    </xf>
    <xf numFmtId="43" fontId="13" fillId="7" borderId="1" xfId="1" applyFont="1" applyFill="1" applyBorder="1" applyAlignment="1">
      <alignment horizontal="center" vertical="center"/>
    </xf>
    <xf numFmtId="0" fontId="13"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3" fillId="0" borderId="1" xfId="0" applyFont="1" applyBorder="1" applyAlignment="1">
      <alignment horizontal="center" vertical="center"/>
    </xf>
    <xf numFmtId="0" fontId="13" fillId="0" borderId="8"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2" xfId="0" applyFont="1" applyBorder="1" applyAlignment="1">
      <alignment horizontal="center" vertical="center" wrapText="1"/>
    </xf>
    <xf numFmtId="0" fontId="7" fillId="0" borderId="30" xfId="0" applyFont="1" applyBorder="1" applyAlignment="1">
      <alignment horizontal="center" vertical="center"/>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7" fillId="0" borderId="31" xfId="0" applyFont="1" applyBorder="1" applyAlignment="1">
      <alignment horizontal="center" vertical="center"/>
    </xf>
    <xf numFmtId="1" fontId="23" fillId="8" borderId="32" xfId="0" applyNumberFormat="1" applyFont="1" applyFill="1" applyBorder="1" applyAlignment="1">
      <alignment horizontal="center" vertical="center" wrapText="1"/>
    </xf>
    <xf numFmtId="1" fontId="23" fillId="8" borderId="33" xfId="0" applyNumberFormat="1" applyFont="1" applyFill="1" applyBorder="1" applyAlignment="1">
      <alignment horizontal="center" vertical="center" wrapText="1"/>
    </xf>
    <xf numFmtId="0" fontId="23" fillId="8" borderId="7"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23" fillId="8" borderId="12" xfId="0" applyFont="1" applyFill="1" applyBorder="1" applyAlignment="1">
      <alignment horizontal="center" vertical="center" wrapText="1"/>
    </xf>
    <xf numFmtId="0" fontId="23" fillId="8" borderId="0" xfId="0" applyFont="1" applyFill="1" applyAlignment="1">
      <alignment horizontal="center" vertical="center" wrapText="1"/>
    </xf>
    <xf numFmtId="0" fontId="23" fillId="8" borderId="1" xfId="0" applyFont="1" applyFill="1" applyBorder="1" applyAlignment="1">
      <alignment horizontal="center" vertical="center" wrapText="1"/>
    </xf>
    <xf numFmtId="169" fontId="23" fillId="8" borderId="1" xfId="0" applyNumberFormat="1" applyFont="1" applyFill="1" applyBorder="1" applyAlignment="1">
      <alignment horizontal="center" vertical="center" wrapText="1"/>
    </xf>
    <xf numFmtId="2" fontId="23" fillId="8" borderId="1" xfId="0" applyNumberFormat="1" applyFont="1" applyFill="1" applyBorder="1" applyAlignment="1">
      <alignment horizontal="center" vertical="center" wrapText="1"/>
    </xf>
    <xf numFmtId="0" fontId="23" fillId="9" borderId="9" xfId="0" applyFont="1" applyFill="1" applyBorder="1" applyAlignment="1">
      <alignment horizontal="center" vertical="center"/>
    </xf>
    <xf numFmtId="0" fontId="23" fillId="9" borderId="10" xfId="0" applyFont="1" applyFill="1" applyBorder="1" applyAlignment="1">
      <alignment horizontal="center" vertical="center"/>
    </xf>
    <xf numFmtId="0" fontId="23" fillId="9" borderId="9" xfId="0" applyFont="1" applyFill="1" applyBorder="1" applyAlignment="1">
      <alignment horizontal="center" vertical="center" wrapText="1"/>
    </xf>
    <xf numFmtId="0" fontId="23" fillId="9" borderId="10" xfId="0" applyFont="1" applyFill="1" applyBorder="1" applyAlignment="1">
      <alignment horizontal="center" vertical="center" wrapText="1"/>
    </xf>
    <xf numFmtId="0" fontId="23" fillId="9" borderId="7" xfId="0" applyFont="1" applyFill="1" applyBorder="1" applyAlignment="1">
      <alignment horizontal="center" vertical="center" textRotation="90" wrapText="1"/>
    </xf>
    <xf numFmtId="0" fontId="23" fillId="9" borderId="4" xfId="0" applyFont="1" applyFill="1" applyBorder="1" applyAlignment="1">
      <alignment horizontal="center" vertical="center" textRotation="90" wrapText="1"/>
    </xf>
    <xf numFmtId="164" fontId="23" fillId="8" borderId="7" xfId="0" applyNumberFormat="1" applyFont="1" applyFill="1" applyBorder="1" applyAlignment="1">
      <alignment horizontal="center" vertical="center" wrapText="1"/>
    </xf>
    <xf numFmtId="164" fontId="23" fillId="8" borderId="4" xfId="0" applyNumberFormat="1" applyFont="1" applyFill="1" applyBorder="1" applyAlignment="1">
      <alignment horizontal="center" vertical="center" wrapText="1"/>
    </xf>
    <xf numFmtId="3" fontId="23" fillId="8" borderId="17" xfId="0" applyNumberFormat="1" applyFont="1" applyFill="1" applyBorder="1" applyAlignment="1">
      <alignment horizontal="center" vertical="center" wrapText="1"/>
    </xf>
    <xf numFmtId="41" fontId="23" fillId="8" borderId="3" xfId="8" applyFont="1" applyFill="1" applyBorder="1" applyAlignment="1">
      <alignment horizontal="center" vertical="center" wrapText="1"/>
    </xf>
    <xf numFmtId="41" fontId="23" fillId="8" borderId="2" xfId="8" applyFont="1" applyFill="1" applyBorder="1" applyAlignment="1">
      <alignment horizontal="center" vertical="center" wrapText="1"/>
    </xf>
    <xf numFmtId="1" fontId="23" fillId="8" borderId="1" xfId="0" applyNumberFormat="1" applyFont="1" applyFill="1" applyBorder="1" applyAlignment="1">
      <alignment horizontal="center" vertical="center" wrapText="1"/>
    </xf>
    <xf numFmtId="3" fontId="23" fillId="9" borderId="9" xfId="0" applyNumberFormat="1" applyFont="1" applyFill="1" applyBorder="1" applyAlignment="1">
      <alignment horizontal="center" vertical="center" wrapText="1"/>
    </xf>
    <xf numFmtId="3" fontId="23" fillId="9" borderId="10" xfId="0" applyNumberFormat="1" applyFont="1" applyFill="1" applyBorder="1" applyAlignment="1">
      <alignment horizontal="center" vertical="center" wrapText="1"/>
    </xf>
    <xf numFmtId="0" fontId="7" fillId="10" borderId="10" xfId="0" applyFont="1" applyFill="1" applyBorder="1" applyAlignment="1">
      <alignment horizontal="center" vertical="center" wrapText="1"/>
    </xf>
    <xf numFmtId="0" fontId="7" fillId="10" borderId="31" xfId="0" applyFont="1" applyFill="1" applyBorder="1" applyAlignment="1">
      <alignment horizontal="center" vertical="center" wrapText="1"/>
    </xf>
    <xf numFmtId="0" fontId="7" fillId="15" borderId="9" xfId="0" applyFont="1" applyFill="1" applyBorder="1" applyAlignment="1">
      <alignment horizontal="left" vertical="center" wrapText="1"/>
    </xf>
    <xf numFmtId="0" fontId="7" fillId="15" borderId="10" xfId="0" applyFont="1" applyFill="1" applyBorder="1" applyAlignment="1">
      <alignment horizontal="left" vertical="center" wrapText="1"/>
    </xf>
    <xf numFmtId="0" fontId="7" fillId="15" borderId="10" xfId="0" applyFont="1" applyFill="1" applyBorder="1" applyAlignment="1">
      <alignment horizontal="center" vertical="center" wrapText="1"/>
    </xf>
    <xf numFmtId="0" fontId="7" fillId="15" borderId="31" xfId="0" applyFont="1" applyFill="1" applyBorder="1" applyAlignment="1">
      <alignment horizontal="center" vertical="center" wrapText="1"/>
    </xf>
    <xf numFmtId="0" fontId="7" fillId="12" borderId="9" xfId="0" applyFont="1" applyFill="1" applyBorder="1" applyAlignment="1">
      <alignment horizontal="left" vertical="center" wrapText="1"/>
    </xf>
    <xf numFmtId="0" fontId="7" fillId="12" borderId="10" xfId="0" applyFont="1" applyFill="1" applyBorder="1" applyAlignment="1">
      <alignment horizontal="left" vertical="center" wrapText="1"/>
    </xf>
    <xf numFmtId="0" fontId="8" fillId="12" borderId="10" xfId="0" applyFont="1" applyFill="1" applyBorder="1" applyAlignment="1">
      <alignment horizontal="center" vertical="center" wrapText="1"/>
    </xf>
    <xf numFmtId="0" fontId="8" fillId="12" borderId="31" xfId="0" applyFont="1" applyFill="1" applyBorder="1" applyAlignment="1">
      <alignment horizontal="center" vertical="center" wrapText="1"/>
    </xf>
    <xf numFmtId="0" fontId="24" fillId="7" borderId="8" xfId="0" applyFont="1" applyFill="1" applyBorder="1" applyAlignment="1">
      <alignment horizontal="center" vertical="center" wrapText="1"/>
    </xf>
    <xf numFmtId="0" fontId="24" fillId="7" borderId="13" xfId="0" applyFont="1" applyFill="1" applyBorder="1" applyAlignment="1">
      <alignment horizontal="center" vertical="center" wrapText="1"/>
    </xf>
    <xf numFmtId="0" fontId="24" fillId="7" borderId="14" xfId="0" applyFont="1" applyFill="1" applyBorder="1" applyAlignment="1">
      <alignment horizontal="center" vertical="center" wrapText="1"/>
    </xf>
    <xf numFmtId="0" fontId="24" fillId="7" borderId="7" xfId="0" applyFont="1" applyFill="1" applyBorder="1" applyAlignment="1">
      <alignment horizontal="center" vertical="center" textRotation="90" wrapText="1"/>
    </xf>
    <xf numFmtId="0" fontId="24" fillId="7" borderId="6" xfId="0" applyFont="1" applyFill="1" applyBorder="1" applyAlignment="1">
      <alignment horizontal="center" vertical="center" textRotation="90" wrapText="1"/>
    </xf>
    <xf numFmtId="0" fontId="24" fillId="7" borderId="12" xfId="0" applyFont="1" applyFill="1" applyBorder="1" applyAlignment="1">
      <alignment horizontal="center" vertical="center" textRotation="90" wrapText="1"/>
    </xf>
    <xf numFmtId="0" fontId="24" fillId="7" borderId="11" xfId="0" applyFont="1" applyFill="1" applyBorder="1" applyAlignment="1">
      <alignment horizontal="center" vertical="center" textRotation="90" wrapText="1"/>
    </xf>
    <xf numFmtId="0" fontId="24" fillId="7" borderId="4" xfId="0" applyFont="1" applyFill="1" applyBorder="1" applyAlignment="1">
      <alignment horizontal="center" vertical="center" textRotation="90" wrapText="1"/>
    </xf>
    <xf numFmtId="0" fontId="24" fillId="7" borderId="5" xfId="0" applyFont="1" applyFill="1" applyBorder="1" applyAlignment="1">
      <alignment horizontal="center" vertical="center" textRotation="90" wrapText="1"/>
    </xf>
    <xf numFmtId="170" fontId="24" fillId="7" borderId="8" xfId="0" applyNumberFormat="1" applyFont="1" applyFill="1" applyBorder="1" applyAlignment="1">
      <alignment horizontal="center" vertical="center" wrapText="1"/>
    </xf>
    <xf numFmtId="170" fontId="24" fillId="7" borderId="13" xfId="0" applyNumberFormat="1" applyFont="1" applyFill="1" applyBorder="1" applyAlignment="1">
      <alignment horizontal="center" vertical="center" wrapText="1"/>
    </xf>
    <xf numFmtId="170" fontId="24" fillId="7" borderId="14" xfId="0" applyNumberFormat="1" applyFont="1" applyFill="1" applyBorder="1" applyAlignment="1">
      <alignment horizontal="center" vertical="center" wrapText="1"/>
    </xf>
    <xf numFmtId="0" fontId="24" fillId="7" borderId="8" xfId="0" applyFont="1" applyFill="1" applyBorder="1" applyAlignment="1">
      <alignment horizontal="justify" vertical="center" wrapText="1"/>
    </xf>
    <xf numFmtId="0" fontId="24" fillId="7" borderId="13" xfId="0" applyFont="1" applyFill="1" applyBorder="1" applyAlignment="1">
      <alignment horizontal="justify" vertical="center" wrapText="1"/>
    </xf>
    <xf numFmtId="0" fontId="24" fillId="7" borderId="14" xfId="0" applyFont="1" applyFill="1" applyBorder="1" applyAlignment="1">
      <alignment horizontal="justify" vertical="center" wrapText="1"/>
    </xf>
    <xf numFmtId="0" fontId="24" fillId="7" borderId="1" xfId="0" applyFont="1" applyFill="1" applyBorder="1" applyAlignment="1">
      <alignment horizontal="left" vertical="center" wrapText="1"/>
    </xf>
    <xf numFmtId="3" fontId="24" fillId="7" borderId="8" xfId="0" applyNumberFormat="1" applyFont="1" applyFill="1" applyBorder="1" applyAlignment="1">
      <alignment horizontal="center" vertical="center" wrapText="1"/>
    </xf>
    <xf numFmtId="3" fontId="24" fillId="7" borderId="13" xfId="0" applyNumberFormat="1" applyFont="1" applyFill="1" applyBorder="1" applyAlignment="1">
      <alignment horizontal="center" vertical="center" wrapText="1"/>
    </xf>
    <xf numFmtId="3" fontId="24" fillId="7" borderId="14" xfId="0" applyNumberFormat="1" applyFont="1" applyFill="1" applyBorder="1" applyAlignment="1">
      <alignment horizontal="center" vertical="center" wrapText="1"/>
    </xf>
    <xf numFmtId="9" fontId="24" fillId="7" borderId="8" xfId="0" applyNumberFormat="1" applyFont="1" applyFill="1" applyBorder="1" applyAlignment="1">
      <alignment horizontal="center" vertical="center" wrapText="1"/>
    </xf>
    <xf numFmtId="9" fontId="24" fillId="7" borderId="13" xfId="0" applyNumberFormat="1" applyFont="1" applyFill="1" applyBorder="1" applyAlignment="1">
      <alignment horizontal="center" vertical="center" wrapText="1"/>
    </xf>
    <xf numFmtId="9" fontId="24" fillId="7" borderId="14" xfId="0" applyNumberFormat="1" applyFont="1" applyFill="1" applyBorder="1" applyAlignment="1">
      <alignment horizontal="center" vertical="center" wrapText="1"/>
    </xf>
    <xf numFmtId="171" fontId="24" fillId="7" borderId="8" xfId="9" applyNumberFormat="1" applyFont="1" applyFill="1" applyBorder="1" applyAlignment="1">
      <alignment horizontal="right" vertical="center" wrapText="1"/>
    </xf>
    <xf numFmtId="171" fontId="24" fillId="7" borderId="13" xfId="9" applyNumberFormat="1" applyFont="1" applyFill="1" applyBorder="1" applyAlignment="1">
      <alignment horizontal="right" vertical="center" wrapText="1"/>
    </xf>
    <xf numFmtId="171" fontId="24" fillId="7" borderId="14" xfId="9" applyNumberFormat="1" applyFont="1" applyFill="1" applyBorder="1" applyAlignment="1">
      <alignment horizontal="right" vertical="center" wrapText="1"/>
    </xf>
    <xf numFmtId="14" fontId="24" fillId="7" borderId="8" xfId="0" applyNumberFormat="1" applyFont="1" applyFill="1" applyBorder="1" applyAlignment="1">
      <alignment horizontal="center" vertical="center"/>
    </xf>
    <xf numFmtId="14" fontId="24" fillId="7" borderId="13" xfId="0" applyNumberFormat="1" applyFont="1" applyFill="1" applyBorder="1" applyAlignment="1">
      <alignment horizontal="center" vertical="center"/>
    </xf>
    <xf numFmtId="14" fontId="24" fillId="7" borderId="14" xfId="0" applyNumberFormat="1" applyFont="1" applyFill="1" applyBorder="1" applyAlignment="1">
      <alignment horizontal="center" vertical="center"/>
    </xf>
    <xf numFmtId="0" fontId="24" fillId="7" borderId="16" xfId="0" applyFont="1" applyFill="1" applyBorder="1" applyAlignment="1">
      <alignment horizontal="center" vertical="center" wrapText="1"/>
    </xf>
    <xf numFmtId="0" fontId="24" fillId="7" borderId="34" xfId="0" applyFont="1" applyFill="1" applyBorder="1" applyAlignment="1">
      <alignment horizontal="center" vertical="center" wrapText="1"/>
    </xf>
    <xf numFmtId="0" fontId="24" fillId="7" borderId="35" xfId="0" applyFont="1" applyFill="1" applyBorder="1" applyAlignment="1">
      <alignment horizontal="center" vertical="center"/>
    </xf>
    <xf numFmtId="0" fontId="24" fillId="7" borderId="35" xfId="0" applyFont="1" applyFill="1" applyBorder="1" applyAlignment="1">
      <alignment horizontal="center" vertical="center" wrapText="1"/>
    </xf>
    <xf numFmtId="0" fontId="24" fillId="0" borderId="8" xfId="0" applyFont="1" applyBorder="1" applyAlignment="1">
      <alignment horizontal="justify" vertical="center" wrapText="1"/>
    </xf>
    <xf numFmtId="0" fontId="24" fillId="0" borderId="13" xfId="0" applyFont="1" applyBorder="1" applyAlignment="1">
      <alignment horizontal="justify" vertical="center" wrapText="1"/>
    </xf>
    <xf numFmtId="0" fontId="24" fillId="0" borderId="14" xfId="0" applyFont="1" applyBorder="1" applyAlignment="1">
      <alignment horizontal="justify" vertical="center" wrapText="1"/>
    </xf>
    <xf numFmtId="0" fontId="24" fillId="0" borderId="8"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3" fontId="24" fillId="0" borderId="8" xfId="0" applyNumberFormat="1" applyFont="1" applyBorder="1" applyAlignment="1">
      <alignment horizontal="center" vertical="center" wrapText="1"/>
    </xf>
    <xf numFmtId="3" fontId="24" fillId="0" borderId="13" xfId="0" applyNumberFormat="1" applyFont="1" applyBorder="1" applyAlignment="1">
      <alignment horizontal="center" vertical="center" wrapText="1"/>
    </xf>
    <xf numFmtId="3" fontId="24" fillId="0" borderId="14" xfId="0" applyNumberFormat="1" applyFont="1" applyBorder="1" applyAlignment="1">
      <alignment horizontal="center" vertical="center" wrapText="1"/>
    </xf>
    <xf numFmtId="9" fontId="24" fillId="7" borderId="8" xfId="11" applyFont="1" applyFill="1" applyBorder="1" applyAlignment="1">
      <alignment horizontal="center" vertical="center" wrapText="1"/>
    </xf>
    <xf numFmtId="9" fontId="24" fillId="7" borderId="13" xfId="11" applyFont="1" applyFill="1" applyBorder="1" applyAlignment="1">
      <alignment horizontal="center" vertical="center" wrapText="1"/>
    </xf>
    <xf numFmtId="9" fontId="24" fillId="7" borderId="14" xfId="11" applyFont="1" applyFill="1" applyBorder="1" applyAlignment="1">
      <alignment horizontal="center" vertical="center" wrapText="1"/>
    </xf>
    <xf numFmtId="43" fontId="24" fillId="7" borderId="8" xfId="9" applyNumberFormat="1" applyFont="1" applyFill="1" applyBorder="1" applyAlignment="1">
      <alignment horizontal="right" vertical="center" wrapText="1"/>
    </xf>
    <xf numFmtId="43" fontId="24" fillId="7" borderId="13" xfId="9" applyNumberFormat="1" applyFont="1" applyFill="1" applyBorder="1" applyAlignment="1">
      <alignment horizontal="right" vertical="center" wrapText="1"/>
    </xf>
    <xf numFmtId="43" fontId="24" fillId="7" borderId="14" xfId="9" applyNumberFormat="1" applyFont="1" applyFill="1" applyBorder="1" applyAlignment="1">
      <alignment horizontal="right" vertical="center" wrapText="1"/>
    </xf>
    <xf numFmtId="0" fontId="24" fillId="7" borderId="8" xfId="0" applyFont="1" applyFill="1" applyBorder="1" applyAlignment="1">
      <alignment horizontal="left" vertical="center" wrapText="1"/>
    </xf>
    <xf numFmtId="0" fontId="24" fillId="7" borderId="14" xfId="0" applyFont="1" applyFill="1" applyBorder="1" applyAlignment="1">
      <alignment horizontal="left" vertical="center" wrapText="1"/>
    </xf>
    <xf numFmtId="0" fontId="25" fillId="12" borderId="9" xfId="0" applyFont="1" applyFill="1" applyBorder="1" applyAlignment="1">
      <alignment horizontal="left" vertical="center" wrapText="1"/>
    </xf>
    <xf numFmtId="0" fontId="25" fillId="12" borderId="10" xfId="0" applyFont="1" applyFill="1" applyBorder="1" applyAlignment="1">
      <alignment horizontal="left" vertical="center" wrapText="1"/>
    </xf>
    <xf numFmtId="0" fontId="24" fillId="7" borderId="1" xfId="0" applyFont="1" applyFill="1" applyBorder="1" applyAlignment="1">
      <alignment horizontal="justify" vertical="center" wrapText="1"/>
    </xf>
    <xf numFmtId="43" fontId="24" fillId="7" borderId="8" xfId="9" applyFont="1" applyFill="1" applyBorder="1" applyAlignment="1">
      <alignment horizontal="center" vertical="center" wrapText="1"/>
    </xf>
    <xf numFmtId="43" fontId="24" fillId="7" borderId="14" xfId="9" applyFont="1" applyFill="1" applyBorder="1" applyAlignment="1">
      <alignment horizontal="center" vertical="center" wrapText="1"/>
    </xf>
    <xf numFmtId="43" fontId="24" fillId="7" borderId="13" xfId="9" applyFont="1" applyFill="1" applyBorder="1" applyAlignment="1">
      <alignment horizontal="center" vertical="center" wrapText="1"/>
    </xf>
    <xf numFmtId="0" fontId="25" fillId="15" borderId="9" xfId="0" applyFont="1" applyFill="1" applyBorder="1" applyAlignment="1">
      <alignment horizontal="left" vertical="center" wrapText="1"/>
    </xf>
    <xf numFmtId="0" fontId="25" fillId="15" borderId="10" xfId="0" applyFont="1" applyFill="1" applyBorder="1" applyAlignment="1">
      <alignment horizontal="left" vertical="center" wrapText="1"/>
    </xf>
    <xf numFmtId="43" fontId="24" fillId="7" borderId="8" xfId="9" applyFont="1" applyFill="1" applyBorder="1" applyAlignment="1">
      <alignment horizontal="right" vertical="center" wrapText="1"/>
    </xf>
    <xf numFmtId="43" fontId="24" fillId="7" borderId="13" xfId="9" applyFont="1" applyFill="1" applyBorder="1" applyAlignment="1">
      <alignment horizontal="right" vertical="center" wrapText="1"/>
    </xf>
    <xf numFmtId="43" fontId="24" fillId="7" borderId="14" xfId="9" applyFont="1" applyFill="1" applyBorder="1" applyAlignment="1">
      <alignment horizontal="right" vertical="center" wrapText="1"/>
    </xf>
    <xf numFmtId="0" fontId="24" fillId="7" borderId="8" xfId="0" applyFont="1" applyFill="1" applyBorder="1" applyAlignment="1">
      <alignment horizontal="center" vertical="center"/>
    </xf>
    <xf numFmtId="0" fontId="24" fillId="7" borderId="14" xfId="0" applyFont="1" applyFill="1" applyBorder="1" applyAlignment="1">
      <alignment horizontal="center" vertical="center"/>
    </xf>
    <xf numFmtId="0" fontId="24" fillId="0" borderId="1" xfId="0" applyFont="1" applyBorder="1" applyAlignment="1">
      <alignment horizontal="justify" vertical="center" wrapText="1"/>
    </xf>
    <xf numFmtId="41" fontId="24" fillId="7" borderId="8" xfId="9" applyNumberFormat="1" applyFont="1" applyFill="1" applyBorder="1" applyAlignment="1">
      <alignment horizontal="center" vertical="center" wrapText="1"/>
    </xf>
    <xf numFmtId="41" fontId="24" fillId="7" borderId="14" xfId="9" applyNumberFormat="1" applyFont="1" applyFill="1" applyBorder="1" applyAlignment="1">
      <alignment horizontal="center" vertical="center" wrapText="1"/>
    </xf>
    <xf numFmtId="0" fontId="7" fillId="7" borderId="0" xfId="0" applyFont="1" applyFill="1" applyAlignment="1">
      <alignment horizontal="center"/>
    </xf>
    <xf numFmtId="0" fontId="8" fillId="7" borderId="0" xfId="0" applyFont="1" applyFill="1" applyAlignment="1">
      <alignment horizontal="center"/>
    </xf>
    <xf numFmtId="170" fontId="24" fillId="7" borderId="18" xfId="0" applyNumberFormat="1" applyFont="1" applyFill="1" applyBorder="1" applyAlignment="1">
      <alignment horizontal="center" vertical="center" wrapText="1"/>
    </xf>
    <xf numFmtId="0" fontId="30" fillId="8" borderId="14" xfId="0" applyFont="1" applyFill="1" applyBorder="1" applyAlignment="1">
      <alignment horizontal="center" vertical="center" wrapText="1"/>
    </xf>
    <xf numFmtId="1" fontId="30" fillId="8" borderId="32" xfId="0" applyNumberFormat="1" applyFont="1" applyFill="1" applyBorder="1" applyAlignment="1">
      <alignment horizontal="center" vertical="center" wrapText="1"/>
    </xf>
    <xf numFmtId="1" fontId="30" fillId="8" borderId="33" xfId="0" applyNumberFormat="1" applyFont="1" applyFill="1" applyBorder="1" applyAlignment="1">
      <alignment horizontal="center" vertical="center" wrapText="1"/>
    </xf>
    <xf numFmtId="0" fontId="30" fillId="8" borderId="7" xfId="0" applyFont="1" applyFill="1" applyBorder="1" applyAlignment="1">
      <alignment horizontal="center" vertical="center" wrapText="1"/>
    </xf>
    <xf numFmtId="0" fontId="30" fillId="8" borderId="6" xfId="0" applyFont="1" applyFill="1" applyBorder="1" applyAlignment="1">
      <alignment horizontal="center" vertical="center" wrapText="1"/>
    </xf>
    <xf numFmtId="0" fontId="30" fillId="8" borderId="12" xfId="0" applyFont="1" applyFill="1" applyBorder="1" applyAlignment="1">
      <alignment horizontal="center" vertical="center" wrapText="1"/>
    </xf>
    <xf numFmtId="0" fontId="30" fillId="8" borderId="11" xfId="0" applyFont="1" applyFill="1" applyBorder="1" applyAlignment="1">
      <alignment horizontal="center" vertical="center" wrapText="1"/>
    </xf>
    <xf numFmtId="166" fontId="36" fillId="8" borderId="1" xfId="0" applyNumberFormat="1" applyFont="1" applyFill="1" applyBorder="1" applyAlignment="1">
      <alignment horizontal="center" vertical="center" wrapText="1"/>
    </xf>
    <xf numFmtId="3" fontId="30" fillId="8" borderId="16" xfId="0" applyNumberFormat="1" applyFont="1" applyFill="1" applyBorder="1" applyAlignment="1">
      <alignment horizontal="center" vertical="center" wrapText="1"/>
    </xf>
    <xf numFmtId="3" fontId="30" fillId="8" borderId="34" xfId="0" applyNumberFormat="1" applyFont="1" applyFill="1" applyBorder="1" applyAlignment="1">
      <alignment horizontal="center" vertical="center" wrapText="1"/>
    </xf>
    <xf numFmtId="1" fontId="30" fillId="7" borderId="43" xfId="0" applyNumberFormat="1" applyFont="1" applyFill="1" applyBorder="1" applyAlignment="1">
      <alignment horizontal="center" vertical="center" wrapText="1"/>
    </xf>
    <xf numFmtId="1" fontId="30" fillId="7" borderId="3" xfId="0" applyNumberFormat="1" applyFont="1" applyFill="1" applyBorder="1" applyAlignment="1">
      <alignment horizontal="center" vertical="center" wrapText="1"/>
    </xf>
    <xf numFmtId="1" fontId="30" fillId="7" borderId="6" xfId="0" applyNumberFormat="1" applyFont="1" applyFill="1" applyBorder="1" applyAlignment="1">
      <alignment horizontal="center" vertical="center" wrapText="1"/>
    </xf>
    <xf numFmtId="1" fontId="30" fillId="7" borderId="28" xfId="0" applyNumberFormat="1" applyFont="1" applyFill="1" applyBorder="1" applyAlignment="1">
      <alignment horizontal="center" vertical="center" wrapText="1"/>
    </xf>
    <xf numFmtId="1" fontId="30" fillId="7" borderId="0" xfId="0" applyNumberFormat="1" applyFont="1" applyFill="1" applyAlignment="1">
      <alignment horizontal="center" vertical="center" wrapText="1"/>
    </xf>
    <xf numFmtId="1" fontId="30" fillId="7" borderId="11" xfId="0" applyNumberFormat="1" applyFont="1" applyFill="1" applyBorder="1" applyAlignment="1">
      <alignment horizontal="center" vertical="center" wrapText="1"/>
    </xf>
    <xf numFmtId="0" fontId="30" fillId="7" borderId="3" xfId="0" applyFont="1" applyFill="1" applyBorder="1" applyAlignment="1">
      <alignment horizontal="center" vertical="center" wrapText="1"/>
    </xf>
    <xf numFmtId="0" fontId="30" fillId="7" borderId="6" xfId="0" applyFont="1" applyFill="1" applyBorder="1" applyAlignment="1">
      <alignment horizontal="center" vertical="center" wrapText="1"/>
    </xf>
    <xf numFmtId="0" fontId="30" fillId="7" borderId="0" xfId="0" applyFont="1" applyFill="1" applyAlignment="1">
      <alignment horizontal="center" vertical="center" wrapText="1"/>
    </xf>
    <xf numFmtId="0" fontId="30" fillId="7" borderId="11" xfId="0" applyFont="1" applyFill="1" applyBorder="1" applyAlignment="1">
      <alignment horizontal="center" vertical="center" wrapText="1"/>
    </xf>
    <xf numFmtId="0" fontId="20" fillId="7" borderId="3" xfId="0" applyFont="1" applyFill="1" applyBorder="1" applyAlignment="1">
      <alignment horizontal="center" vertical="center" wrapText="1"/>
    </xf>
    <xf numFmtId="0" fontId="20" fillId="7" borderId="6" xfId="0" applyFont="1" applyFill="1" applyBorder="1" applyAlignment="1">
      <alignment horizontal="center" vertical="center" wrapText="1"/>
    </xf>
    <xf numFmtId="0" fontId="20" fillId="7" borderId="0" xfId="0" applyFont="1" applyFill="1" applyAlignment="1">
      <alignment horizontal="center" vertical="center" wrapText="1"/>
    </xf>
    <xf numFmtId="0" fontId="20" fillId="7" borderId="11"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7" borderId="5" xfId="0" applyFont="1" applyFill="1" applyBorder="1" applyAlignment="1">
      <alignment horizontal="center" vertical="center" wrapText="1"/>
    </xf>
    <xf numFmtId="0" fontId="20" fillId="0" borderId="6" xfId="0" applyFont="1" applyBorder="1" applyAlignment="1">
      <alignment horizontal="center" vertical="center" wrapText="1"/>
    </xf>
    <xf numFmtId="0" fontId="20" fillId="0" borderId="11" xfId="0" applyFont="1" applyBorder="1" applyAlignment="1">
      <alignment horizontal="center" vertical="center" wrapText="1"/>
    </xf>
    <xf numFmtId="0" fontId="20" fillId="7" borderId="8" xfId="0" applyFont="1" applyFill="1" applyBorder="1" applyAlignment="1">
      <alignment horizontal="justify" vertical="center" wrapText="1"/>
    </xf>
    <xf numFmtId="0" fontId="20" fillId="7" borderId="13" xfId="0" applyFont="1" applyFill="1" applyBorder="1" applyAlignment="1">
      <alignment horizontal="justify" vertical="center" wrapText="1"/>
    </xf>
    <xf numFmtId="165" fontId="30" fillId="8" borderId="14" xfId="0" applyNumberFormat="1" applyFont="1" applyFill="1" applyBorder="1" applyAlignment="1">
      <alignment horizontal="center" vertical="center" wrapText="1"/>
    </xf>
    <xf numFmtId="1" fontId="30" fillId="8" borderId="8" xfId="0" applyNumberFormat="1" applyFont="1" applyFill="1" applyBorder="1" applyAlignment="1">
      <alignment horizontal="center" vertical="center" wrapText="1"/>
    </xf>
    <xf numFmtId="1" fontId="30" fillId="8" borderId="13" xfId="0" applyNumberFormat="1" applyFont="1" applyFill="1" applyBorder="1" applyAlignment="1">
      <alignment horizontal="center" vertical="center" wrapText="1"/>
    </xf>
    <xf numFmtId="1" fontId="30" fillId="8" borderId="14" xfId="0" applyNumberFormat="1" applyFont="1" applyFill="1" applyBorder="1" applyAlignment="1">
      <alignment horizontal="center" vertical="center" wrapText="1"/>
    </xf>
    <xf numFmtId="3" fontId="23" fillId="9" borderId="1" xfId="0" applyNumberFormat="1" applyFont="1" applyFill="1" applyBorder="1" applyAlignment="1">
      <alignment horizontal="center" vertical="center" wrapText="1"/>
    </xf>
    <xf numFmtId="169" fontId="30" fillId="8" borderId="7" xfId="0" applyNumberFormat="1" applyFont="1" applyFill="1" applyBorder="1" applyAlignment="1">
      <alignment horizontal="center" vertical="center" wrapText="1"/>
    </xf>
    <xf numFmtId="169" fontId="30" fillId="8" borderId="12" xfId="0" applyNumberFormat="1" applyFont="1" applyFill="1" applyBorder="1" applyAlignment="1">
      <alignment horizontal="center" vertical="center" wrapText="1"/>
    </xf>
    <xf numFmtId="43" fontId="30" fillId="8" borderId="7" xfId="1" applyFont="1" applyFill="1" applyBorder="1" applyAlignment="1">
      <alignment horizontal="center" vertical="center" wrapText="1"/>
    </xf>
    <xf numFmtId="43" fontId="30" fillId="8" borderId="12" xfId="1" applyFont="1" applyFill="1" applyBorder="1" applyAlignment="1">
      <alignment horizontal="center" vertical="center" wrapText="1"/>
    </xf>
    <xf numFmtId="3" fontId="20" fillId="7" borderId="8" xfId="0" applyNumberFormat="1" applyFont="1" applyFill="1" applyBorder="1" applyAlignment="1">
      <alignment horizontal="justify" vertical="center" wrapText="1"/>
    </xf>
    <xf numFmtId="3" fontId="20" fillId="7" borderId="13" xfId="0" applyNumberFormat="1" applyFont="1" applyFill="1" applyBorder="1" applyAlignment="1">
      <alignment horizontal="justify" vertical="center" wrapText="1"/>
    </xf>
    <xf numFmtId="3" fontId="20" fillId="7" borderId="14" xfId="0" applyNumberFormat="1" applyFont="1" applyFill="1" applyBorder="1" applyAlignment="1">
      <alignment horizontal="justify" vertical="center" wrapText="1"/>
    </xf>
    <xf numFmtId="0" fontId="20" fillId="7" borderId="14" xfId="0" applyFont="1" applyFill="1" applyBorder="1" applyAlignment="1">
      <alignment horizontal="justify" vertical="center" wrapText="1"/>
    </xf>
    <xf numFmtId="167" fontId="20" fillId="0" borderId="8" xfId="1" applyNumberFormat="1" applyFont="1" applyBorder="1" applyAlignment="1">
      <alignment horizontal="center" vertical="center" wrapText="1"/>
    </xf>
    <xf numFmtId="167" fontId="20" fillId="0" borderId="11" xfId="1" applyNumberFormat="1" applyFont="1" applyBorder="1" applyAlignment="1">
      <alignment horizontal="center" vertical="center" wrapText="1"/>
    </xf>
    <xf numFmtId="167" fontId="20" fillId="0" borderId="13" xfId="1" applyNumberFormat="1" applyFont="1" applyBorder="1" applyAlignment="1">
      <alignment horizontal="center" vertical="center" wrapText="1"/>
    </xf>
    <xf numFmtId="167" fontId="20" fillId="0" borderId="14" xfId="1" applyNumberFormat="1" applyFont="1" applyBorder="1" applyAlignment="1">
      <alignment horizontal="center" vertical="center" wrapText="1"/>
    </xf>
    <xf numFmtId="0" fontId="20" fillId="7" borderId="1" xfId="0" applyFont="1" applyFill="1" applyBorder="1" applyAlignment="1">
      <alignment horizontal="center" vertical="center" wrapText="1"/>
    </xf>
    <xf numFmtId="0" fontId="20" fillId="7" borderId="8" xfId="0" applyFont="1" applyFill="1" applyBorder="1" applyAlignment="1">
      <alignment horizontal="center" vertical="center" wrapText="1"/>
    </xf>
    <xf numFmtId="0" fontId="20" fillId="7" borderId="13" xfId="0" applyFont="1" applyFill="1" applyBorder="1" applyAlignment="1">
      <alignment horizontal="center" vertical="center" wrapText="1"/>
    </xf>
    <xf numFmtId="0" fontId="20" fillId="7" borderId="14" xfId="0" applyFont="1" applyFill="1" applyBorder="1" applyAlignment="1">
      <alignment horizontal="center" vertical="center" wrapText="1"/>
    </xf>
    <xf numFmtId="9" fontId="20" fillId="7" borderId="8" xfId="0" applyNumberFormat="1" applyFont="1" applyFill="1" applyBorder="1" applyAlignment="1">
      <alignment horizontal="center" vertical="center" wrapText="1"/>
    </xf>
    <xf numFmtId="9" fontId="20" fillId="7" borderId="13" xfId="0" applyNumberFormat="1" applyFont="1" applyFill="1" applyBorder="1" applyAlignment="1">
      <alignment horizontal="center" vertical="center" wrapText="1"/>
    </xf>
    <xf numFmtId="0" fontId="20" fillId="0" borderId="37" xfId="0" applyFont="1" applyBorder="1" applyAlignment="1">
      <alignment horizontal="center" vertical="center" wrapText="1"/>
    </xf>
    <xf numFmtId="0" fontId="20" fillId="7" borderId="6" xfId="0" applyFont="1" applyFill="1" applyBorder="1" applyAlignment="1">
      <alignment horizontal="justify" vertical="center" wrapText="1"/>
    </xf>
    <xf numFmtId="0" fontId="20" fillId="7" borderId="11" xfId="0" applyFont="1" applyFill="1" applyBorder="1" applyAlignment="1">
      <alignment horizontal="justify" vertical="center" wrapText="1"/>
    </xf>
    <xf numFmtId="0" fontId="20" fillId="7" borderId="12" xfId="0" applyFont="1" applyFill="1" applyBorder="1" applyAlignment="1">
      <alignment horizontal="center" vertical="center" wrapText="1"/>
    </xf>
    <xf numFmtId="14" fontId="20" fillId="7" borderId="8" xfId="0" applyNumberFormat="1" applyFont="1" applyFill="1" applyBorder="1" applyAlignment="1">
      <alignment horizontal="center" vertical="center" wrapText="1"/>
    </xf>
    <xf numFmtId="14" fontId="20" fillId="7" borderId="13" xfId="0" applyNumberFormat="1" applyFont="1" applyFill="1" applyBorder="1" applyAlignment="1">
      <alignment horizontal="center" vertical="center" wrapText="1"/>
    </xf>
    <xf numFmtId="14" fontId="20" fillId="7" borderId="14" xfId="0" applyNumberFormat="1" applyFont="1" applyFill="1" applyBorder="1" applyAlignment="1">
      <alignment horizontal="center" vertical="center" wrapText="1"/>
    </xf>
    <xf numFmtId="3" fontId="4" fillId="7" borderId="16" xfId="0" applyNumberFormat="1" applyFont="1" applyFill="1" applyBorder="1" applyAlignment="1">
      <alignment horizontal="justify" vertical="center" wrapText="1"/>
    </xf>
    <xf numFmtId="3" fontId="20" fillId="7" borderId="34" xfId="0" applyNumberFormat="1" applyFont="1" applyFill="1" applyBorder="1" applyAlignment="1">
      <alignment horizontal="justify" vertical="center" wrapText="1"/>
    </xf>
    <xf numFmtId="3" fontId="20" fillId="7" borderId="35" xfId="0" applyNumberFormat="1" applyFont="1" applyFill="1" applyBorder="1" applyAlignment="1">
      <alignment horizontal="justify" vertical="center" wrapText="1"/>
    </xf>
    <xf numFmtId="0" fontId="20" fillId="7" borderId="9" xfId="0" applyFont="1" applyFill="1" applyBorder="1" applyAlignment="1">
      <alignment horizontal="justify" vertical="center" wrapText="1"/>
    </xf>
    <xf numFmtId="43" fontId="20" fillId="0" borderId="1" xfId="1" applyFont="1" applyBorder="1" applyAlignment="1">
      <alignment horizontal="center" vertical="center" wrapText="1"/>
    </xf>
    <xf numFmtId="1" fontId="20" fillId="7" borderId="13" xfId="0" applyNumberFormat="1" applyFont="1" applyFill="1" applyBorder="1" applyAlignment="1">
      <alignment horizontal="center" vertical="center" wrapText="1"/>
    </xf>
    <xf numFmtId="43" fontId="20" fillId="0" borderId="8" xfId="1" applyFont="1" applyBorder="1" applyAlignment="1">
      <alignment horizontal="center" vertical="center"/>
    </xf>
    <xf numFmtId="43" fontId="20" fillId="0" borderId="13" xfId="1" applyFont="1" applyBorder="1" applyAlignment="1">
      <alignment horizontal="center" vertical="center"/>
    </xf>
    <xf numFmtId="1" fontId="20" fillId="7" borderId="8" xfId="0" applyNumberFormat="1" applyFont="1" applyFill="1" applyBorder="1" applyAlignment="1">
      <alignment horizontal="center" vertical="center" wrapText="1"/>
    </xf>
    <xf numFmtId="3" fontId="20" fillId="7" borderId="8" xfId="0" applyNumberFormat="1" applyFont="1" applyFill="1" applyBorder="1" applyAlignment="1">
      <alignment horizontal="center" vertical="center" wrapText="1"/>
    </xf>
    <xf numFmtId="3" fontId="20" fillId="7" borderId="13" xfId="0" applyNumberFormat="1" applyFont="1" applyFill="1" applyBorder="1" applyAlignment="1">
      <alignment horizontal="center" vertical="center" wrapText="1"/>
    </xf>
    <xf numFmtId="3" fontId="20" fillId="7" borderId="14" xfId="0" applyNumberFormat="1" applyFont="1" applyFill="1" applyBorder="1" applyAlignment="1">
      <alignment horizontal="center" vertical="center" wrapText="1"/>
    </xf>
    <xf numFmtId="167" fontId="20" fillId="7" borderId="8" xfId="1" applyNumberFormat="1" applyFont="1" applyFill="1" applyBorder="1" applyAlignment="1">
      <alignment horizontal="center" vertical="center" wrapText="1"/>
    </xf>
    <xf numFmtId="167" fontId="20" fillId="7" borderId="13" xfId="1" applyNumberFormat="1" applyFont="1" applyFill="1" applyBorder="1" applyAlignment="1">
      <alignment horizontal="center" vertical="center" wrapText="1"/>
    </xf>
    <xf numFmtId="167" fontId="20" fillId="7" borderId="14" xfId="1" applyNumberFormat="1" applyFont="1" applyFill="1" applyBorder="1" applyAlignment="1">
      <alignment horizontal="center" vertical="center" wrapText="1"/>
    </xf>
    <xf numFmtId="43" fontId="20" fillId="0" borderId="8" xfId="1" applyFont="1" applyBorder="1" applyAlignment="1">
      <alignment horizontal="center" vertical="center" wrapText="1"/>
    </xf>
    <xf numFmtId="43" fontId="20" fillId="0" borderId="13" xfId="1" applyFont="1" applyBorder="1" applyAlignment="1">
      <alignment horizontal="center" vertical="center" wrapText="1"/>
    </xf>
    <xf numFmtId="167" fontId="20" fillId="7" borderId="6" xfId="1" applyNumberFormat="1" applyFont="1" applyFill="1" applyBorder="1" applyAlignment="1">
      <alignment horizontal="center" vertical="center" wrapText="1"/>
    </xf>
    <xf numFmtId="167" fontId="20" fillId="7" borderId="11" xfId="1" applyNumberFormat="1" applyFont="1" applyFill="1" applyBorder="1" applyAlignment="1">
      <alignment horizontal="center" vertical="center" wrapText="1"/>
    </xf>
    <xf numFmtId="0" fontId="20" fillId="7" borderId="7" xfId="0" applyFont="1" applyFill="1" applyBorder="1" applyAlignment="1">
      <alignment horizontal="justify" vertical="center" wrapText="1"/>
    </xf>
    <xf numFmtId="0" fontId="20" fillId="7" borderId="12" xfId="0" applyFont="1" applyFill="1" applyBorder="1" applyAlignment="1">
      <alignment horizontal="justify" vertical="center" wrapText="1"/>
    </xf>
    <xf numFmtId="0" fontId="20" fillId="7" borderId="4" xfId="0" applyFont="1" applyFill="1" applyBorder="1" applyAlignment="1">
      <alignment horizontal="justify" vertical="center" wrapText="1"/>
    </xf>
    <xf numFmtId="43" fontId="20" fillId="0" borderId="37" xfId="1" applyFont="1" applyBorder="1" applyAlignment="1">
      <alignment horizontal="center" vertical="center" wrapText="1"/>
    </xf>
    <xf numFmtId="1" fontId="20" fillId="7" borderId="37" xfId="0" applyNumberFormat="1" applyFont="1" applyFill="1" applyBorder="1" applyAlignment="1">
      <alignment horizontal="center" vertical="center" wrapText="1"/>
    </xf>
    <xf numFmtId="0" fontId="20" fillId="7" borderId="37" xfId="0" applyFont="1" applyFill="1" applyBorder="1" applyAlignment="1">
      <alignment horizontal="center" vertical="center" wrapText="1"/>
    </xf>
    <xf numFmtId="43" fontId="20" fillId="0" borderId="14" xfId="1" applyFont="1" applyBorder="1" applyAlignment="1">
      <alignment horizontal="center" vertical="center" wrapText="1"/>
    </xf>
    <xf numFmtId="1" fontId="20" fillId="7" borderId="14" xfId="0" applyNumberFormat="1" applyFont="1" applyFill="1" applyBorder="1" applyAlignment="1">
      <alignment horizontal="center" vertical="center" wrapText="1"/>
    </xf>
    <xf numFmtId="1" fontId="30" fillId="7" borderId="8" xfId="0" applyNumberFormat="1" applyFont="1" applyFill="1" applyBorder="1" applyAlignment="1">
      <alignment horizontal="center" vertical="center" wrapText="1"/>
    </xf>
    <xf numFmtId="1" fontId="30" fillId="7" borderId="13" xfId="0" applyNumberFormat="1" applyFont="1" applyFill="1" applyBorder="1" applyAlignment="1">
      <alignment horizontal="center" vertical="center" wrapText="1"/>
    </xf>
    <xf numFmtId="1" fontId="30" fillId="7" borderId="14" xfId="0" applyNumberFormat="1" applyFont="1" applyFill="1" applyBorder="1" applyAlignment="1">
      <alignment horizontal="center" vertical="center" wrapText="1"/>
    </xf>
    <xf numFmtId="0" fontId="30" fillId="7" borderId="7" xfId="0" applyFont="1" applyFill="1" applyBorder="1" applyAlignment="1">
      <alignment horizontal="center" vertical="center" wrapText="1"/>
    </xf>
    <xf numFmtId="0" fontId="30" fillId="7" borderId="12" xfId="0" applyFont="1" applyFill="1" applyBorder="1" applyAlignment="1">
      <alignment horizontal="center" vertical="center" wrapText="1"/>
    </xf>
    <xf numFmtId="0" fontId="30" fillId="7" borderId="4" xfId="0" applyFont="1" applyFill="1" applyBorder="1" applyAlignment="1">
      <alignment horizontal="center" vertical="center" wrapText="1"/>
    </xf>
    <xf numFmtId="0" fontId="30" fillId="7" borderId="2" xfId="0" applyFont="1" applyFill="1" applyBorder="1" applyAlignment="1">
      <alignment horizontal="center" vertical="center" wrapText="1"/>
    </xf>
    <xf numFmtId="0" fontId="30" fillId="7" borderId="5"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7" borderId="1" xfId="0" applyFont="1" applyFill="1" applyBorder="1" applyAlignment="1">
      <alignment horizontal="justify" vertical="center" wrapText="1"/>
    </xf>
    <xf numFmtId="9" fontId="20" fillId="7" borderId="14" xfId="0" applyNumberFormat="1" applyFont="1" applyFill="1" applyBorder="1" applyAlignment="1">
      <alignment horizontal="center" vertical="center" wrapText="1"/>
    </xf>
    <xf numFmtId="3" fontId="4" fillId="7" borderId="34" xfId="0" applyNumberFormat="1" applyFont="1" applyFill="1" applyBorder="1" applyAlignment="1">
      <alignment horizontal="justify" vertical="center" wrapText="1"/>
    </xf>
    <xf numFmtId="43" fontId="20" fillId="0" borderId="7" xfId="1" applyFont="1" applyBorder="1" applyAlignment="1">
      <alignment horizontal="center" vertical="center" wrapText="1"/>
    </xf>
    <xf numFmtId="43" fontId="20" fillId="0" borderId="12" xfId="1" applyFont="1" applyBorder="1" applyAlignment="1">
      <alignment horizontal="center" vertical="center" wrapText="1"/>
    </xf>
    <xf numFmtId="1" fontId="20" fillId="7" borderId="36" xfId="0" applyNumberFormat="1" applyFont="1" applyFill="1" applyBorder="1" applyAlignment="1">
      <alignment horizontal="center" vertical="center" wrapText="1"/>
    </xf>
    <xf numFmtId="0" fontId="20" fillId="7" borderId="36" xfId="0" applyFont="1" applyFill="1" applyBorder="1" applyAlignment="1">
      <alignment horizontal="center" vertical="center" wrapText="1"/>
    </xf>
    <xf numFmtId="1" fontId="32" fillId="7" borderId="8" xfId="0" applyNumberFormat="1" applyFont="1" applyFill="1" applyBorder="1" applyAlignment="1">
      <alignment horizontal="center" vertical="center" wrapText="1"/>
    </xf>
    <xf numFmtId="1" fontId="32" fillId="7" borderId="13" xfId="0" applyNumberFormat="1" applyFont="1" applyFill="1" applyBorder="1" applyAlignment="1">
      <alignment horizontal="center" vertical="center" wrapText="1"/>
    </xf>
    <xf numFmtId="1" fontId="32" fillId="7" borderId="14" xfId="0" applyNumberFormat="1" applyFont="1" applyFill="1" applyBorder="1" applyAlignment="1">
      <alignment horizontal="center" vertical="center" wrapText="1"/>
    </xf>
    <xf numFmtId="167" fontId="20" fillId="7" borderId="5" xfId="1" applyNumberFormat="1" applyFont="1" applyFill="1" applyBorder="1" applyAlignment="1">
      <alignment horizontal="center" vertical="center" wrapText="1"/>
    </xf>
    <xf numFmtId="9" fontId="20" fillId="7" borderId="1" xfId="0" applyNumberFormat="1" applyFont="1" applyFill="1" applyBorder="1" applyAlignment="1">
      <alignment horizontal="center" vertical="center" wrapText="1"/>
    </xf>
    <xf numFmtId="3" fontId="20" fillId="7" borderId="4" xfId="0" applyNumberFormat="1" applyFont="1" applyFill="1" applyBorder="1" applyAlignment="1">
      <alignment horizontal="justify" vertical="center" wrapText="1"/>
    </xf>
    <xf numFmtId="3" fontId="20" fillId="7" borderId="9" xfId="0" applyNumberFormat="1" applyFont="1" applyFill="1" applyBorder="1" applyAlignment="1">
      <alignment horizontal="justify" vertical="center" wrapText="1"/>
    </xf>
    <xf numFmtId="3" fontId="20" fillId="7" borderId="1" xfId="0" applyNumberFormat="1" applyFont="1" applyFill="1" applyBorder="1" applyAlignment="1">
      <alignment horizontal="justify" vertical="center" wrapText="1"/>
    </xf>
    <xf numFmtId="3" fontId="20" fillId="7" borderId="12" xfId="0" applyNumberFormat="1" applyFont="1" applyFill="1" applyBorder="1" applyAlignment="1">
      <alignment horizontal="justify" vertical="center" wrapText="1"/>
    </xf>
    <xf numFmtId="0" fontId="20" fillId="7" borderId="37" xfId="0" applyFont="1" applyFill="1" applyBorder="1" applyAlignment="1">
      <alignment horizontal="justify" vertical="center" wrapText="1"/>
    </xf>
    <xf numFmtId="0" fontId="20" fillId="7" borderId="7" xfId="0" applyFont="1" applyFill="1" applyBorder="1" applyAlignment="1">
      <alignment horizontal="center"/>
    </xf>
    <xf numFmtId="0" fontId="20" fillId="7" borderId="3" xfId="0" applyFont="1" applyFill="1" applyBorder="1" applyAlignment="1">
      <alignment horizontal="center"/>
    </xf>
    <xf numFmtId="0" fontId="20" fillId="7" borderId="6" xfId="0" applyFont="1" applyFill="1" applyBorder="1" applyAlignment="1">
      <alignment horizontal="center"/>
    </xf>
    <xf numFmtId="0" fontId="20" fillId="7" borderId="12" xfId="0" applyFont="1" applyFill="1" applyBorder="1" applyAlignment="1">
      <alignment horizontal="center"/>
    </xf>
    <xf numFmtId="0" fontId="20" fillId="7" borderId="0" xfId="0" applyFont="1" applyFill="1" applyAlignment="1">
      <alignment horizontal="center"/>
    </xf>
    <xf numFmtId="0" fontId="20" fillId="7" borderId="11" xfId="0" applyFont="1" applyFill="1" applyBorder="1" applyAlignment="1">
      <alignment horizontal="center"/>
    </xf>
    <xf numFmtId="0" fontId="20" fillId="0" borderId="8" xfId="0" applyFont="1" applyBorder="1" applyAlignment="1">
      <alignment horizontal="center" vertical="center" wrapText="1"/>
    </xf>
    <xf numFmtId="0" fontId="20" fillId="0" borderId="13" xfId="0" applyFont="1" applyBorder="1" applyAlignment="1">
      <alignment horizontal="center" vertical="center" wrapText="1"/>
    </xf>
    <xf numFmtId="3" fontId="20" fillId="7" borderId="7" xfId="0" applyNumberFormat="1" applyFont="1" applyFill="1" applyBorder="1" applyAlignment="1">
      <alignment horizontal="justify" vertical="center" wrapText="1"/>
    </xf>
    <xf numFmtId="0" fontId="20" fillId="0" borderId="14" xfId="0" applyFont="1" applyBorder="1" applyAlignment="1">
      <alignment horizontal="center" vertical="center" wrapText="1"/>
    </xf>
    <xf numFmtId="43" fontId="20" fillId="7" borderId="1" xfId="1" applyFont="1" applyFill="1" applyBorder="1" applyAlignment="1">
      <alignment horizontal="center" vertical="center" wrapText="1"/>
    </xf>
    <xf numFmtId="0" fontId="20" fillId="0" borderId="7" xfId="0" applyFont="1" applyBorder="1" applyAlignment="1">
      <alignment horizontal="center"/>
    </xf>
    <xf numFmtId="0" fontId="20" fillId="0" borderId="3" xfId="0" applyFont="1" applyBorder="1" applyAlignment="1">
      <alignment horizontal="center"/>
    </xf>
    <xf numFmtId="0" fontId="20" fillId="0" borderId="6" xfId="0" applyFont="1" applyBorder="1" applyAlignment="1">
      <alignment horizontal="center"/>
    </xf>
    <xf numFmtId="0" fontId="20" fillId="0" borderId="12" xfId="0" applyFont="1" applyBorder="1" applyAlignment="1">
      <alignment horizontal="center"/>
    </xf>
    <xf numFmtId="0" fontId="20" fillId="0" borderId="0" xfId="0" applyFont="1" applyAlignment="1">
      <alignment horizontal="center"/>
    </xf>
    <xf numFmtId="0" fontId="20" fillId="0" borderId="11" xfId="0" applyFont="1" applyBorder="1" applyAlignment="1">
      <alignment horizontal="center"/>
    </xf>
    <xf numFmtId="43" fontId="20" fillId="7" borderId="8" xfId="1" applyFont="1" applyFill="1" applyBorder="1" applyAlignment="1">
      <alignment horizontal="center" vertical="center" wrapText="1"/>
    </xf>
    <xf numFmtId="43" fontId="20" fillId="7" borderId="13" xfId="1" applyFont="1" applyFill="1" applyBorder="1" applyAlignment="1">
      <alignment horizontal="center" vertical="center" wrapText="1"/>
    </xf>
    <xf numFmtId="1" fontId="20" fillId="7" borderId="1" xfId="0" applyNumberFormat="1" applyFont="1" applyFill="1" applyBorder="1" applyAlignment="1">
      <alignment horizontal="center" vertical="center" wrapText="1"/>
    </xf>
    <xf numFmtId="0" fontId="20" fillId="0" borderId="2" xfId="0" applyFont="1" applyBorder="1" applyAlignment="1">
      <alignment horizontal="center"/>
    </xf>
    <xf numFmtId="0" fontId="20" fillId="0" borderId="5" xfId="0" applyFont="1" applyBorder="1" applyAlignment="1">
      <alignment horizontal="center"/>
    </xf>
    <xf numFmtId="0" fontId="20" fillId="7" borderId="7" xfId="0" applyFont="1" applyFill="1" applyBorder="1" applyAlignment="1">
      <alignment horizontal="center" vertical="center" wrapText="1"/>
    </xf>
    <xf numFmtId="0" fontId="20" fillId="7" borderId="4" xfId="0" applyFont="1" applyFill="1" applyBorder="1" applyAlignment="1">
      <alignment horizontal="center" vertical="center" wrapText="1"/>
    </xf>
    <xf numFmtId="0" fontId="30" fillId="0" borderId="0" xfId="0" applyFont="1" applyAlignment="1">
      <alignment horizontal="left"/>
    </xf>
    <xf numFmtId="43" fontId="20" fillId="7" borderId="4" xfId="1" applyFont="1" applyFill="1" applyBorder="1" applyAlignment="1">
      <alignment horizontal="justify" vertical="center" wrapText="1"/>
    </xf>
    <xf numFmtId="43" fontId="20" fillId="7" borderId="9" xfId="1" applyFont="1" applyFill="1" applyBorder="1" applyAlignment="1">
      <alignment horizontal="justify" vertical="center" wrapText="1"/>
    </xf>
    <xf numFmtId="1" fontId="8" fillId="7" borderId="38" xfId="0" applyNumberFormat="1" applyFont="1" applyFill="1" applyBorder="1" applyAlignment="1">
      <alignment horizontal="center" vertical="center" wrapText="1"/>
    </xf>
    <xf numFmtId="1" fontId="8" fillId="7" borderId="36" xfId="0" applyNumberFormat="1" applyFont="1" applyFill="1" applyBorder="1" applyAlignment="1">
      <alignment horizontal="center" vertical="center" wrapText="1"/>
    </xf>
    <xf numFmtId="0" fontId="20" fillId="7" borderId="38"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1" fontId="12" fillId="8" borderId="6" xfId="0" applyNumberFormat="1" applyFont="1" applyFill="1" applyBorder="1" applyAlignment="1">
      <alignment horizontal="center" vertical="center" wrapText="1"/>
    </xf>
    <xf numFmtId="1" fontId="12" fillId="8" borderId="11" xfId="0" applyNumberFormat="1"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8" borderId="7" xfId="0" applyFont="1" applyFill="1" applyBorder="1" applyAlignment="1">
      <alignment horizontal="justify" vertical="center" wrapText="1"/>
    </xf>
    <xf numFmtId="0" fontId="12" fillId="8" borderId="12" xfId="0" applyFont="1" applyFill="1" applyBorder="1" applyAlignment="1">
      <alignment horizontal="justify" vertical="center" wrapText="1"/>
    </xf>
    <xf numFmtId="0" fontId="12" fillId="8" borderId="12"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2" fillId="8" borderId="13" xfId="0" applyFont="1" applyFill="1" applyBorder="1" applyAlignment="1">
      <alignment horizontal="center" vertical="center" wrapText="1"/>
    </xf>
    <xf numFmtId="165" fontId="12" fillId="8" borderId="8" xfId="0" applyNumberFormat="1" applyFont="1" applyFill="1" applyBorder="1" applyAlignment="1">
      <alignment horizontal="center" vertical="center" wrapText="1"/>
    </xf>
    <xf numFmtId="165" fontId="12" fillId="8" borderId="13" xfId="0" applyNumberFormat="1" applyFont="1" applyFill="1" applyBorder="1" applyAlignment="1">
      <alignment horizontal="center" vertical="center" wrapText="1"/>
    </xf>
    <xf numFmtId="0" fontId="12" fillId="8" borderId="6"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7" borderId="8" xfId="0" applyFont="1" applyFill="1" applyBorder="1" applyAlignment="1">
      <alignment horizontal="center" vertical="center" wrapText="1"/>
    </xf>
    <xf numFmtId="1" fontId="13" fillId="7" borderId="1" xfId="0" applyNumberFormat="1" applyFont="1" applyFill="1" applyBorder="1" applyAlignment="1">
      <alignment horizontal="center" vertical="center" wrapText="1"/>
    </xf>
    <xf numFmtId="1" fontId="13" fillId="7" borderId="8" xfId="0" applyNumberFormat="1" applyFont="1" applyFill="1" applyBorder="1" applyAlignment="1">
      <alignment horizontal="center" vertical="center" wrapText="1"/>
    </xf>
    <xf numFmtId="0" fontId="13" fillId="7" borderId="13" xfId="0" applyFont="1" applyFill="1" applyBorder="1" applyAlignment="1">
      <alignment horizontal="justify" vertical="center" wrapText="1"/>
    </xf>
    <xf numFmtId="10" fontId="13" fillId="7" borderId="8" xfId="0" applyNumberFormat="1" applyFont="1" applyFill="1" applyBorder="1" applyAlignment="1">
      <alignment horizontal="center" vertical="center" wrapText="1"/>
    </xf>
    <xf numFmtId="10" fontId="13" fillId="7" borderId="14" xfId="0" applyNumberFormat="1" applyFont="1" applyFill="1" applyBorder="1" applyAlignment="1">
      <alignment horizontal="center" vertical="center" wrapText="1"/>
    </xf>
    <xf numFmtId="43" fontId="13" fillId="7" borderId="1" xfId="1" applyFont="1" applyFill="1" applyBorder="1" applyAlignment="1">
      <alignment horizontal="center" vertical="center" wrapText="1"/>
    </xf>
    <xf numFmtId="166" fontId="12" fillId="8" borderId="7" xfId="0" applyNumberFormat="1" applyFont="1" applyFill="1" applyBorder="1" applyAlignment="1">
      <alignment horizontal="center" vertical="center" wrapText="1"/>
    </xf>
    <xf numFmtId="166" fontId="12" fillId="8" borderId="12" xfId="0" applyNumberFormat="1" applyFont="1" applyFill="1" applyBorder="1" applyAlignment="1">
      <alignment horizontal="center" vertical="center" wrapText="1"/>
    </xf>
    <xf numFmtId="3" fontId="12" fillId="8" borderId="8" xfId="0" applyNumberFormat="1" applyFont="1" applyFill="1" applyBorder="1" applyAlignment="1">
      <alignment horizontal="center" vertical="center" wrapText="1"/>
    </xf>
    <xf numFmtId="3" fontId="12" fillId="8" borderId="13" xfId="0" applyNumberFormat="1" applyFont="1" applyFill="1" applyBorder="1" applyAlignment="1">
      <alignment horizontal="center" vertical="center" wrapText="1"/>
    </xf>
    <xf numFmtId="1" fontId="12" fillId="10" borderId="10" xfId="0" applyNumberFormat="1" applyFont="1" applyFill="1" applyBorder="1" applyAlignment="1">
      <alignment horizontal="left" vertical="center" wrapText="1"/>
    </xf>
    <xf numFmtId="1" fontId="12" fillId="10" borderId="3" xfId="0" applyNumberFormat="1" applyFont="1" applyFill="1" applyBorder="1" applyAlignment="1">
      <alignment horizontal="left" vertical="center" wrapText="1"/>
    </xf>
    <xf numFmtId="1" fontId="12" fillId="7" borderId="3" xfId="0" applyNumberFormat="1" applyFont="1" applyFill="1" applyBorder="1" applyAlignment="1">
      <alignment horizontal="center" vertical="center" wrapText="1"/>
    </xf>
    <xf numFmtId="1" fontId="12" fillId="7" borderId="0" xfId="0" applyNumberFormat="1" applyFont="1" applyFill="1" applyAlignment="1">
      <alignment horizontal="center" vertical="center" wrapText="1"/>
    </xf>
    <xf numFmtId="0" fontId="12" fillId="7" borderId="0" xfId="0" applyFont="1" applyFill="1" applyAlignment="1">
      <alignment horizontal="center" vertical="center" wrapText="1"/>
    </xf>
    <xf numFmtId="0" fontId="13" fillId="7" borderId="7"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7" borderId="11"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7" borderId="5" xfId="0" applyFont="1" applyFill="1" applyBorder="1" applyAlignment="1">
      <alignment horizontal="center" vertical="center" wrapText="1"/>
    </xf>
    <xf numFmtId="0" fontId="13" fillId="7" borderId="14" xfId="0" applyFont="1" applyFill="1" applyBorder="1" applyAlignment="1">
      <alignment horizontal="center" vertical="center" wrapText="1"/>
    </xf>
    <xf numFmtId="3" fontId="15" fillId="9" borderId="1" xfId="0" applyNumberFormat="1" applyFont="1" applyFill="1" applyBorder="1" applyAlignment="1">
      <alignment horizontal="center" vertical="center" wrapText="1"/>
    </xf>
    <xf numFmtId="0" fontId="15" fillId="9" borderId="1" xfId="0" applyFont="1" applyFill="1" applyBorder="1" applyAlignment="1">
      <alignment horizontal="center" vertical="center" wrapText="1"/>
    </xf>
    <xf numFmtId="0" fontId="15" fillId="9" borderId="9" xfId="0" applyFont="1" applyFill="1" applyBorder="1" applyAlignment="1">
      <alignment horizontal="center" vertical="center"/>
    </xf>
    <xf numFmtId="0" fontId="15" fillId="9" borderId="10" xfId="0" applyFont="1" applyFill="1" applyBorder="1" applyAlignment="1">
      <alignment horizontal="center" vertical="center"/>
    </xf>
    <xf numFmtId="0" fontId="15" fillId="9" borderId="15" xfId="0" applyFont="1" applyFill="1" applyBorder="1" applyAlignment="1">
      <alignment horizontal="center" vertical="center"/>
    </xf>
    <xf numFmtId="10" fontId="12" fillId="8" borderId="7" xfId="0" applyNumberFormat="1" applyFont="1" applyFill="1" applyBorder="1" applyAlignment="1">
      <alignment horizontal="center" vertical="center" wrapText="1"/>
    </xf>
    <xf numFmtId="10" fontId="12" fillId="8" borderId="12" xfId="0" applyNumberFormat="1" applyFont="1" applyFill="1" applyBorder="1" applyAlignment="1">
      <alignment horizontal="center" vertical="center" wrapText="1"/>
    </xf>
    <xf numFmtId="165" fontId="12" fillId="8" borderId="7" xfId="0" applyNumberFormat="1" applyFont="1" applyFill="1" applyBorder="1" applyAlignment="1">
      <alignment horizontal="center" vertical="center" wrapText="1"/>
    </xf>
    <xf numFmtId="165" fontId="12" fillId="8" borderId="12" xfId="0" applyNumberFormat="1" applyFont="1" applyFill="1" applyBorder="1" applyAlignment="1">
      <alignment horizontal="center" vertical="center" wrapText="1"/>
    </xf>
    <xf numFmtId="3" fontId="13" fillId="7" borderId="1" xfId="0" applyNumberFormat="1" applyFont="1" applyFill="1" applyBorder="1" applyAlignment="1">
      <alignment horizontal="center" vertical="center" wrapText="1"/>
    </xf>
    <xf numFmtId="0" fontId="13" fillId="7" borderId="1" xfId="0" applyFont="1" applyFill="1" applyBorder="1" applyAlignment="1">
      <alignment horizontal="justify" vertical="center" wrapText="1"/>
    </xf>
    <xf numFmtId="0" fontId="12" fillId="12" borderId="9" xfId="0" applyFont="1" applyFill="1" applyBorder="1" applyAlignment="1">
      <alignment horizontal="left" vertical="center" wrapText="1"/>
    </xf>
    <xf numFmtId="0" fontId="12" fillId="12" borderId="10" xfId="0" applyFont="1" applyFill="1" applyBorder="1" applyAlignment="1">
      <alignment horizontal="left" vertical="center" wrapText="1"/>
    </xf>
    <xf numFmtId="0" fontId="12" fillId="12" borderId="15" xfId="0" applyFont="1" applyFill="1" applyBorder="1" applyAlignment="1">
      <alignment horizontal="left" vertical="center" wrapText="1"/>
    </xf>
    <xf numFmtId="0" fontId="17" fillId="0" borderId="8" xfId="0" applyFont="1" applyBorder="1" applyAlignment="1">
      <alignment horizontal="justify" vertical="center" wrapText="1"/>
    </xf>
    <xf numFmtId="0" fontId="17" fillId="0" borderId="14" xfId="0" applyFont="1" applyBorder="1" applyAlignment="1">
      <alignment horizontal="justify" vertical="center" wrapText="1"/>
    </xf>
    <xf numFmtId="166" fontId="13" fillId="7" borderId="1" xfId="0" applyNumberFormat="1" applyFont="1" applyFill="1" applyBorder="1" applyAlignment="1">
      <alignment horizontal="center" vertical="center" wrapText="1"/>
    </xf>
    <xf numFmtId="166" fontId="13" fillId="7" borderId="8" xfId="0" applyNumberFormat="1" applyFont="1" applyFill="1" applyBorder="1" applyAlignment="1">
      <alignment horizontal="center" vertical="center" wrapText="1"/>
    </xf>
    <xf numFmtId="1" fontId="13" fillId="7" borderId="1" xfId="0" applyNumberFormat="1" applyFont="1" applyFill="1" applyBorder="1" applyAlignment="1">
      <alignment horizontal="center" vertical="center" wrapText="1" readingOrder="2"/>
    </xf>
    <xf numFmtId="1" fontId="13" fillId="7" borderId="8" xfId="0" applyNumberFormat="1" applyFont="1" applyFill="1" applyBorder="1" applyAlignment="1">
      <alignment horizontal="center" vertical="center" wrapText="1" readingOrder="2"/>
    </xf>
    <xf numFmtId="1" fontId="13" fillId="7" borderId="14" xfId="0" applyNumberFormat="1" applyFont="1" applyFill="1" applyBorder="1" applyAlignment="1">
      <alignment horizontal="center" vertical="center" wrapText="1"/>
    </xf>
    <xf numFmtId="1" fontId="13" fillId="7" borderId="14" xfId="0" applyNumberFormat="1" applyFont="1" applyFill="1" applyBorder="1" applyAlignment="1">
      <alignment horizontal="center" vertical="center" wrapText="1" readingOrder="2"/>
    </xf>
    <xf numFmtId="0" fontId="13" fillId="0" borderId="8" xfId="0" applyFont="1" applyBorder="1" applyAlignment="1">
      <alignment horizontal="justify" vertical="center" wrapText="1"/>
    </xf>
    <xf numFmtId="0" fontId="13" fillId="0" borderId="13" xfId="0" applyFont="1" applyBorder="1" applyAlignment="1">
      <alignment horizontal="justify" vertical="center" wrapText="1"/>
    </xf>
    <xf numFmtId="0" fontId="13" fillId="0" borderId="14" xfId="0" applyFont="1" applyBorder="1" applyAlignment="1">
      <alignment horizontal="justify" vertical="center" wrapText="1"/>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3" fontId="16" fillId="0" borderId="8" xfId="0" applyNumberFormat="1" applyFont="1" applyBorder="1" applyAlignment="1">
      <alignment horizontal="center" vertical="center" wrapText="1"/>
    </xf>
    <xf numFmtId="3" fontId="16" fillId="0" borderId="14" xfId="0" applyNumberFormat="1" applyFont="1" applyBorder="1" applyAlignment="1">
      <alignment horizontal="center" vertical="center" wrapText="1"/>
    </xf>
    <xf numFmtId="0" fontId="13" fillId="0" borderId="8"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7" borderId="13" xfId="0" applyFont="1" applyFill="1" applyBorder="1" applyAlignment="1">
      <alignment horizontal="center" vertical="center" wrapText="1"/>
    </xf>
    <xf numFmtId="0" fontId="13" fillId="0" borderId="8"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166" fontId="13" fillId="7" borderId="13" xfId="0" applyNumberFormat="1" applyFont="1" applyFill="1" applyBorder="1" applyAlignment="1">
      <alignment horizontal="center" vertical="center" wrapText="1"/>
    </xf>
    <xf numFmtId="166" fontId="13" fillId="7" borderId="14" xfId="0" applyNumberFormat="1" applyFont="1" applyFill="1" applyBorder="1" applyAlignment="1">
      <alignment horizontal="center" vertical="center" wrapText="1"/>
    </xf>
    <xf numFmtId="0" fontId="13" fillId="7" borderId="13" xfId="0" applyFont="1" applyFill="1" applyBorder="1" applyAlignment="1">
      <alignment horizontal="left" vertical="center" wrapText="1"/>
    </xf>
    <xf numFmtId="10" fontId="13" fillId="0" borderId="1" xfId="0" applyNumberFormat="1" applyFont="1" applyBorder="1" applyAlignment="1">
      <alignment horizontal="center" vertical="center"/>
    </xf>
    <xf numFmtId="43" fontId="13" fillId="0" borderId="8" xfId="1" applyFont="1" applyBorder="1" applyAlignment="1">
      <alignment horizontal="center" vertical="center"/>
    </xf>
    <xf numFmtId="43" fontId="13" fillId="0" borderId="13" xfId="1" applyFont="1" applyBorder="1" applyAlignment="1">
      <alignment horizontal="center" vertical="center"/>
    </xf>
    <xf numFmtId="43" fontId="13" fillId="0" borderId="14" xfId="1" applyFont="1" applyBorder="1" applyAlignment="1">
      <alignment horizontal="center" vertical="center"/>
    </xf>
    <xf numFmtId="1" fontId="13" fillId="0" borderId="3" xfId="0" applyNumberFormat="1" applyFont="1" applyBorder="1" applyAlignment="1">
      <alignment horizontal="center" vertical="center"/>
    </xf>
    <xf numFmtId="1" fontId="13" fillId="0" borderId="6" xfId="0" applyNumberFormat="1" applyFont="1" applyBorder="1" applyAlignment="1">
      <alignment horizontal="center" vertical="center"/>
    </xf>
    <xf numFmtId="1" fontId="13" fillId="0" borderId="0" xfId="0" applyNumberFormat="1" applyFont="1" applyAlignment="1">
      <alignment horizontal="center" vertical="center"/>
    </xf>
    <xf numFmtId="1" fontId="13" fillId="0" borderId="11" xfId="0" applyNumberFormat="1" applyFont="1" applyBorder="1" applyAlignment="1">
      <alignment horizontal="center" vertical="center"/>
    </xf>
    <xf numFmtId="1" fontId="13" fillId="0" borderId="2" xfId="0" applyNumberFormat="1" applyFont="1" applyBorder="1" applyAlignment="1">
      <alignment horizontal="center" vertical="center"/>
    </xf>
    <xf numFmtId="1" fontId="13" fillId="0" borderId="5" xfId="0" applyNumberFormat="1" applyFont="1" applyBorder="1" applyAlignment="1">
      <alignment horizontal="center" vertical="center"/>
    </xf>
    <xf numFmtId="1" fontId="13" fillId="0" borderId="1" xfId="0" applyNumberFormat="1" applyFont="1" applyBorder="1" applyAlignment="1">
      <alignment horizontal="center" vertical="center"/>
    </xf>
    <xf numFmtId="43" fontId="13" fillId="0" borderId="1" xfId="1" applyFont="1" applyBorder="1" applyAlignment="1">
      <alignment horizontal="center" vertical="center"/>
    </xf>
    <xf numFmtId="0" fontId="16" fillId="0" borderId="8" xfId="0" applyFont="1" applyBorder="1" applyAlignment="1">
      <alignment horizontal="justify" vertical="center" wrapText="1"/>
    </xf>
    <xf numFmtId="0" fontId="16" fillId="0" borderId="13" xfId="0" applyFont="1" applyBorder="1" applyAlignment="1">
      <alignment horizontal="justify" vertical="center" wrapText="1"/>
    </xf>
    <xf numFmtId="0" fontId="16" fillId="0" borderId="14" xfId="0" applyFont="1" applyBorder="1" applyAlignment="1">
      <alignment horizontal="justify" vertical="center" wrapText="1"/>
    </xf>
    <xf numFmtId="10" fontId="13" fillId="7" borderId="1" xfId="0" applyNumberFormat="1" applyFont="1" applyFill="1" applyBorder="1" applyAlignment="1">
      <alignment horizontal="center" vertical="center"/>
    </xf>
    <xf numFmtId="0" fontId="16" fillId="7" borderId="8" xfId="0" applyFont="1" applyFill="1" applyBorder="1" applyAlignment="1">
      <alignment horizontal="justify" vertical="center" wrapText="1"/>
    </xf>
    <xf numFmtId="0" fontId="16" fillId="7" borderId="13" xfId="0" applyFont="1" applyFill="1" applyBorder="1" applyAlignment="1">
      <alignment horizontal="justify" vertical="center" wrapText="1"/>
    </xf>
    <xf numFmtId="0" fontId="16" fillId="7" borderId="14" xfId="0" applyFont="1" applyFill="1" applyBorder="1" applyAlignment="1">
      <alignment horizontal="justify" vertical="center" wrapText="1"/>
    </xf>
    <xf numFmtId="0" fontId="13" fillId="7" borderId="8" xfId="0" applyFont="1" applyFill="1" applyBorder="1" applyAlignment="1">
      <alignment horizontal="center" vertical="center"/>
    </xf>
    <xf numFmtId="0" fontId="13" fillId="7" borderId="14" xfId="0" applyFont="1" applyFill="1" applyBorder="1" applyAlignment="1">
      <alignment horizontal="center" vertical="center"/>
    </xf>
    <xf numFmtId="0" fontId="13" fillId="7" borderId="13" xfId="0" applyFont="1" applyFill="1" applyBorder="1" applyAlignment="1">
      <alignment horizontal="center" vertical="center"/>
    </xf>
    <xf numFmtId="3" fontId="16" fillId="0" borderId="13" xfId="0" applyNumberFormat="1" applyFont="1" applyBorder="1" applyAlignment="1">
      <alignment horizontal="center" vertical="center" wrapText="1"/>
    </xf>
    <xf numFmtId="166" fontId="13" fillId="0" borderId="8" xfId="0" applyNumberFormat="1" applyFont="1" applyBorder="1" applyAlignment="1">
      <alignment horizontal="center" vertical="center"/>
    </xf>
    <xf numFmtId="166" fontId="13" fillId="0" borderId="13" xfId="0" applyNumberFormat="1" applyFont="1" applyBorder="1" applyAlignment="1">
      <alignment horizontal="center" vertical="center"/>
    </xf>
    <xf numFmtId="166" fontId="13" fillId="0" borderId="14" xfId="0" applyNumberFormat="1" applyFont="1" applyBorder="1" applyAlignment="1">
      <alignment horizontal="center" vertical="center"/>
    </xf>
    <xf numFmtId="10" fontId="13" fillId="7" borderId="8" xfId="0" applyNumberFormat="1" applyFont="1" applyFill="1" applyBorder="1" applyAlignment="1">
      <alignment horizontal="center" vertical="center"/>
    </xf>
    <xf numFmtId="10" fontId="13" fillId="7" borderId="14" xfId="0" applyNumberFormat="1" applyFont="1" applyFill="1" applyBorder="1" applyAlignment="1">
      <alignment horizontal="center" vertical="center"/>
    </xf>
    <xf numFmtId="0" fontId="13" fillId="0" borderId="8" xfId="0" applyFont="1" applyBorder="1" applyAlignment="1">
      <alignment horizontal="center" vertical="center" textRotation="3"/>
    </xf>
    <xf numFmtId="0" fontId="13" fillId="0" borderId="14" xfId="0" applyFont="1" applyBorder="1" applyAlignment="1">
      <alignment horizontal="center" vertical="center" textRotation="3"/>
    </xf>
    <xf numFmtId="0" fontId="19" fillId="0" borderId="8" xfId="0" applyFont="1" applyBorder="1" applyAlignment="1">
      <alignment horizontal="justify" vertical="center" wrapText="1"/>
    </xf>
    <xf numFmtId="0" fontId="19" fillId="0" borderId="14" xfId="0" applyFont="1" applyBorder="1" applyAlignment="1">
      <alignment horizontal="justify" vertical="center" wrapText="1"/>
    </xf>
    <xf numFmtId="0" fontId="13" fillId="0" borderId="8" xfId="0" applyFont="1" applyBorder="1" applyAlignment="1">
      <alignment horizontal="center" vertical="center" textRotation="4"/>
    </xf>
    <xf numFmtId="0" fontId="13" fillId="0" borderId="13" xfId="0" applyFont="1" applyBorder="1" applyAlignment="1">
      <alignment horizontal="center" vertical="center" textRotation="4"/>
    </xf>
    <xf numFmtId="10" fontId="13" fillId="7" borderId="13" xfId="0" applyNumberFormat="1" applyFont="1" applyFill="1" applyBorder="1" applyAlignment="1">
      <alignment horizontal="center" vertical="center"/>
    </xf>
    <xf numFmtId="43" fontId="13" fillId="7" borderId="8" xfId="1" applyFont="1" applyFill="1" applyBorder="1" applyAlignment="1">
      <alignment horizontal="right" vertical="center"/>
    </xf>
    <xf numFmtId="43" fontId="13" fillId="7" borderId="13" xfId="1" applyFont="1" applyFill="1" applyBorder="1" applyAlignment="1">
      <alignment horizontal="right" vertical="center"/>
    </xf>
    <xf numFmtId="1" fontId="13" fillId="7" borderId="8" xfId="0" applyNumberFormat="1" applyFont="1" applyFill="1" applyBorder="1" applyAlignment="1">
      <alignment horizontal="center" vertical="center"/>
    </xf>
    <xf numFmtId="1" fontId="13" fillId="7" borderId="13" xfId="0" applyNumberFormat="1" applyFont="1" applyFill="1" applyBorder="1" applyAlignment="1">
      <alignment horizontal="center" vertical="center"/>
    </xf>
    <xf numFmtId="0" fontId="12" fillId="12" borderId="9" xfId="0" applyFont="1" applyFill="1" applyBorder="1" applyAlignment="1">
      <alignment horizontal="left" vertical="center"/>
    </xf>
    <xf numFmtId="0" fontId="12" fillId="12" borderId="10" xfId="0" applyFont="1" applyFill="1" applyBorder="1" applyAlignment="1">
      <alignment horizontal="left" vertical="center"/>
    </xf>
    <xf numFmtId="0" fontId="12" fillId="12" borderId="15" xfId="0" applyFont="1" applyFill="1" applyBorder="1" applyAlignment="1">
      <alignment horizontal="left" vertical="center"/>
    </xf>
    <xf numFmtId="0" fontId="13" fillId="0" borderId="8" xfId="0" applyFont="1" applyBorder="1" applyAlignment="1">
      <alignment horizontal="center" vertical="center" textRotation="92"/>
    </xf>
    <xf numFmtId="0" fontId="13" fillId="0" borderId="14" xfId="0" applyFont="1" applyBorder="1" applyAlignment="1">
      <alignment horizontal="center" vertical="center" textRotation="92"/>
    </xf>
    <xf numFmtId="0" fontId="13" fillId="0" borderId="7"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2" fillId="7" borderId="0" xfId="0" applyFont="1" applyFill="1" applyAlignment="1">
      <alignment horizontal="center" vertical="center"/>
    </xf>
    <xf numFmtId="0" fontId="30" fillId="0" borderId="7" xfId="0" applyFont="1" applyBorder="1" applyAlignment="1">
      <alignment horizontal="center" vertical="center"/>
    </xf>
    <xf numFmtId="0" fontId="30" fillId="0" borderId="9" xfId="0" applyFont="1" applyBorder="1" applyAlignment="1">
      <alignment horizontal="center" vertical="center"/>
    </xf>
    <xf numFmtId="0" fontId="30" fillId="0" borderId="10" xfId="0" applyFont="1" applyBorder="1" applyAlignment="1">
      <alignment horizontal="center" vertical="center"/>
    </xf>
    <xf numFmtId="0" fontId="30" fillId="0" borderId="15" xfId="0" applyFont="1" applyBorder="1" applyAlignment="1">
      <alignment horizontal="center" vertical="center"/>
    </xf>
    <xf numFmtId="0" fontId="30" fillId="8" borderId="4" xfId="0" applyFont="1" applyFill="1" applyBorder="1" applyAlignment="1">
      <alignment horizontal="center" vertical="center" wrapText="1"/>
    </xf>
    <xf numFmtId="0" fontId="7" fillId="9" borderId="9" xfId="0" applyFont="1" applyFill="1" applyBorder="1" applyAlignment="1">
      <alignment horizontal="center" vertical="center"/>
    </xf>
    <xf numFmtId="0" fontId="7" fillId="9" borderId="10" xfId="0" applyFont="1" applyFill="1" applyBorder="1" applyAlignment="1">
      <alignment horizontal="center" vertical="center"/>
    </xf>
    <xf numFmtId="0" fontId="7" fillId="9" borderId="9"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9" borderId="7" xfId="0" applyFont="1" applyFill="1" applyBorder="1" applyAlignment="1">
      <alignment horizontal="center" vertical="center" textRotation="90" wrapText="1"/>
    </xf>
    <xf numFmtId="0" fontId="7" fillId="9" borderId="4" xfId="0" applyFont="1" applyFill="1" applyBorder="1" applyAlignment="1">
      <alignment horizontal="center" vertical="center" textRotation="90" wrapText="1"/>
    </xf>
    <xf numFmtId="164" fontId="30" fillId="8" borderId="7" xfId="0" applyNumberFormat="1" applyFont="1" applyFill="1" applyBorder="1" applyAlignment="1">
      <alignment horizontal="center" vertical="center" wrapText="1"/>
    </xf>
    <xf numFmtId="164" fontId="30" fillId="8" borderId="4" xfId="0" applyNumberFormat="1" applyFont="1" applyFill="1" applyBorder="1" applyAlignment="1">
      <alignment horizontal="center" vertical="center" wrapText="1"/>
    </xf>
    <xf numFmtId="3" fontId="30" fillId="8" borderId="1" xfId="0" applyNumberFormat="1" applyFont="1" applyFill="1" applyBorder="1" applyAlignment="1">
      <alignment horizontal="center" vertical="center" wrapText="1"/>
    </xf>
    <xf numFmtId="3" fontId="7" fillId="9" borderId="9" xfId="0" applyNumberFormat="1" applyFont="1" applyFill="1" applyBorder="1" applyAlignment="1">
      <alignment horizontal="center" vertical="center" wrapText="1"/>
    </xf>
    <xf numFmtId="3" fontId="7" fillId="9" borderId="10" xfId="0" applyNumberFormat="1" applyFont="1" applyFill="1" applyBorder="1" applyAlignment="1">
      <alignment horizontal="center" vertical="center" wrapText="1"/>
    </xf>
    <xf numFmtId="0" fontId="20" fillId="7" borderId="10" xfId="0" applyFont="1" applyFill="1" applyBorder="1" applyAlignment="1">
      <alignment horizontal="center" vertical="center" wrapText="1"/>
    </xf>
    <xf numFmtId="0" fontId="20" fillId="7" borderId="15" xfId="0" applyFont="1" applyFill="1" applyBorder="1" applyAlignment="1">
      <alignment horizontal="center" vertical="center" wrapText="1"/>
    </xf>
    <xf numFmtId="0" fontId="20" fillId="7" borderId="70" xfId="0" applyFont="1" applyFill="1" applyBorder="1" applyAlignment="1">
      <alignment horizontal="center" vertical="center" wrapText="1"/>
    </xf>
    <xf numFmtId="0" fontId="20" fillId="7" borderId="71" xfId="0" applyFont="1" applyFill="1" applyBorder="1" applyAlignment="1">
      <alignment horizontal="center" vertical="center" wrapText="1"/>
    </xf>
    <xf numFmtId="1" fontId="30" fillId="7" borderId="7" xfId="0" applyNumberFormat="1" applyFont="1" applyFill="1" applyBorder="1" applyAlignment="1">
      <alignment horizontal="center" vertical="top"/>
    </xf>
    <xf numFmtId="1" fontId="30" fillId="7" borderId="12" xfId="0" applyNumberFormat="1" applyFont="1" applyFill="1" applyBorder="1" applyAlignment="1">
      <alignment horizontal="center" vertical="top"/>
    </xf>
    <xf numFmtId="1" fontId="30" fillId="7" borderId="4" xfId="0" applyNumberFormat="1" applyFont="1" applyFill="1" applyBorder="1" applyAlignment="1">
      <alignment horizontal="center" vertical="top"/>
    </xf>
    <xf numFmtId="1" fontId="30" fillId="7" borderId="9" xfId="0" applyNumberFormat="1" applyFont="1" applyFill="1" applyBorder="1" applyAlignment="1">
      <alignment horizontal="center" vertical="center" wrapText="1"/>
    </xf>
    <xf numFmtId="1" fontId="30" fillId="7" borderId="15" xfId="0" applyNumberFormat="1" applyFont="1" applyFill="1" applyBorder="1" applyAlignment="1">
      <alignment horizontal="center" vertical="center"/>
    </xf>
    <xf numFmtId="167" fontId="8" fillId="0" borderId="1" xfId="0" applyNumberFormat="1" applyFont="1" applyBorder="1" applyAlignment="1">
      <alignment horizontal="center" vertical="center"/>
    </xf>
    <xf numFmtId="9" fontId="20" fillId="7" borderId="1" xfId="13" applyFont="1" applyFill="1" applyBorder="1" applyAlignment="1">
      <alignment horizontal="center" vertical="center" wrapText="1"/>
    </xf>
    <xf numFmtId="4" fontId="20" fillId="7" borderId="1" xfId="0" applyNumberFormat="1" applyFont="1" applyFill="1" applyBorder="1" applyAlignment="1">
      <alignment horizontal="center" vertical="center" wrapText="1"/>
    </xf>
    <xf numFmtId="167" fontId="8" fillId="0" borderId="15" xfId="0" applyNumberFormat="1" applyFont="1" applyBorder="1" applyAlignment="1">
      <alignment horizontal="center" vertical="center"/>
    </xf>
    <xf numFmtId="0" fontId="10" fillId="7" borderId="12" xfId="0" applyFont="1" applyFill="1" applyBorder="1" applyAlignment="1">
      <alignment horizontal="center" vertical="center" wrapText="1"/>
    </xf>
    <xf numFmtId="1" fontId="30" fillId="7" borderId="7" xfId="0" applyNumberFormat="1" applyFont="1" applyFill="1" applyBorder="1" applyAlignment="1">
      <alignment horizontal="center" vertical="center"/>
    </xf>
    <xf numFmtId="1" fontId="30" fillId="7" borderId="12" xfId="0" applyNumberFormat="1" applyFont="1" applyFill="1" applyBorder="1" applyAlignment="1">
      <alignment horizontal="center" vertical="center"/>
    </xf>
    <xf numFmtId="1" fontId="30" fillId="7" borderId="69" xfId="0" applyNumberFormat="1" applyFont="1" applyFill="1" applyBorder="1" applyAlignment="1">
      <alignment horizontal="center" vertical="center"/>
    </xf>
    <xf numFmtId="1" fontId="30" fillId="7" borderId="6" xfId="0" applyNumberFormat="1" applyFont="1" applyFill="1" applyBorder="1" applyAlignment="1">
      <alignment horizontal="center" vertical="center"/>
    </xf>
    <xf numFmtId="1" fontId="30" fillId="7" borderId="11" xfId="0" applyNumberFormat="1" applyFont="1" applyFill="1" applyBorder="1" applyAlignment="1">
      <alignment horizontal="center" vertical="center"/>
    </xf>
    <xf numFmtId="1" fontId="30" fillId="7" borderId="45" xfId="0" applyNumberFormat="1" applyFont="1" applyFill="1" applyBorder="1" applyAlignment="1">
      <alignment horizontal="center" vertical="center"/>
    </xf>
    <xf numFmtId="1" fontId="30" fillId="12" borderId="10" xfId="0" applyNumberFormat="1" applyFont="1" applyFill="1" applyBorder="1" applyAlignment="1">
      <alignment horizontal="left" vertical="center" wrapText="1"/>
    </xf>
    <xf numFmtId="1" fontId="30" fillId="12" borderId="1" xfId="0" applyNumberFormat="1" applyFont="1" applyFill="1" applyBorder="1" applyAlignment="1">
      <alignment horizontal="left" vertical="center" wrapText="1"/>
    </xf>
    <xf numFmtId="3" fontId="20" fillId="0" borderId="13" xfId="0" applyNumberFormat="1" applyFont="1" applyBorder="1" applyAlignment="1">
      <alignment horizontal="center" vertical="center"/>
    </xf>
    <xf numFmtId="3" fontId="20" fillId="0" borderId="14" xfId="0" applyNumberFormat="1" applyFont="1" applyBorder="1" applyAlignment="1">
      <alignment horizontal="center" vertical="center"/>
    </xf>
    <xf numFmtId="166" fontId="20" fillId="7"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xf>
    <xf numFmtId="3" fontId="20" fillId="0" borderId="1" xfId="0" applyNumberFormat="1" applyFont="1" applyBorder="1" applyAlignment="1">
      <alignment horizontal="center" vertical="center"/>
    </xf>
    <xf numFmtId="167" fontId="8" fillId="7" borderId="1" xfId="0" applyNumberFormat="1" applyFont="1" applyFill="1" applyBorder="1" applyAlignment="1">
      <alignment horizontal="center" vertical="center"/>
    </xf>
    <xf numFmtId="167" fontId="8" fillId="7" borderId="6" xfId="0" applyNumberFormat="1" applyFont="1" applyFill="1" applyBorder="1" applyAlignment="1">
      <alignment horizontal="center" vertical="center"/>
    </xf>
    <xf numFmtId="0" fontId="33" fillId="20" borderId="8" xfId="0" applyFont="1" applyFill="1" applyBorder="1" applyAlignment="1">
      <alignment horizontal="left" vertical="center" wrapText="1"/>
    </xf>
    <xf numFmtId="0" fontId="33" fillId="20" borderId="18" xfId="0" applyFont="1" applyFill="1" applyBorder="1" applyAlignment="1">
      <alignment horizontal="left" vertical="center" wrapText="1"/>
    </xf>
    <xf numFmtId="0" fontId="33" fillId="0" borderId="7" xfId="0" applyFont="1" applyBorder="1" applyAlignment="1">
      <alignment horizontal="left" vertical="center" wrapText="1"/>
    </xf>
    <xf numFmtId="0" fontId="33" fillId="0" borderId="69" xfId="0" applyFont="1" applyBorder="1" applyAlignment="1">
      <alignment horizontal="left" vertical="center" wrapText="1"/>
    </xf>
    <xf numFmtId="0" fontId="30" fillId="7" borderId="1" xfId="0" applyFont="1" applyFill="1" applyBorder="1" applyAlignment="1">
      <alignment horizontal="center" vertical="center"/>
    </xf>
    <xf numFmtId="0" fontId="30" fillId="7" borderId="8" xfId="0" applyFont="1" applyFill="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167" fontId="8" fillId="7" borderId="8" xfId="0" applyNumberFormat="1" applyFont="1" applyFill="1" applyBorder="1" applyAlignment="1">
      <alignment horizontal="center" vertical="center"/>
    </xf>
    <xf numFmtId="14" fontId="20" fillId="7" borderId="1" xfId="0" applyNumberFormat="1" applyFont="1" applyFill="1" applyBorder="1" applyAlignment="1">
      <alignment horizontal="center" vertical="center"/>
    </xf>
    <xf numFmtId="0" fontId="20" fillId="7" borderId="1" xfId="0" applyFont="1" applyFill="1" applyBorder="1" applyAlignment="1">
      <alignment horizontal="center" vertical="center"/>
    </xf>
    <xf numFmtId="0" fontId="20" fillId="7" borderId="8" xfId="0" applyFont="1" applyFill="1" applyBorder="1" applyAlignment="1">
      <alignment horizontal="center" vertical="center"/>
    </xf>
    <xf numFmtId="14" fontId="20" fillId="7" borderId="8" xfId="0" applyNumberFormat="1" applyFont="1" applyFill="1" applyBorder="1" applyAlignment="1">
      <alignment horizontal="center" vertical="center"/>
    </xf>
    <xf numFmtId="14" fontId="20" fillId="7" borderId="13" xfId="0" applyNumberFormat="1" applyFont="1" applyFill="1" applyBorder="1" applyAlignment="1">
      <alignment horizontal="center" vertical="center"/>
    </xf>
    <xf numFmtId="49" fontId="8" fillId="7" borderId="1" xfId="0" applyNumberFormat="1" applyFont="1" applyFill="1" applyBorder="1" applyAlignment="1">
      <alignment horizontal="center" vertical="center"/>
    </xf>
    <xf numFmtId="49" fontId="8" fillId="7" borderId="8" xfId="0" applyNumberFormat="1" applyFont="1" applyFill="1" applyBorder="1" applyAlignment="1">
      <alignment horizontal="center" vertical="center"/>
    </xf>
    <xf numFmtId="49" fontId="20" fillId="7" borderId="8" xfId="0" applyNumberFormat="1" applyFont="1" applyFill="1" applyBorder="1" applyAlignment="1">
      <alignment horizontal="center" vertical="center"/>
    </xf>
    <xf numFmtId="49" fontId="20" fillId="7" borderId="13" xfId="0" applyNumberFormat="1" applyFont="1" applyFill="1" applyBorder="1" applyAlignment="1">
      <alignment horizontal="center" vertical="center"/>
    </xf>
    <xf numFmtId="9" fontId="20" fillId="7" borderId="8" xfId="13" applyFont="1" applyFill="1" applyBorder="1" applyAlignment="1">
      <alignment horizontal="center" vertical="center" wrapText="1"/>
    </xf>
    <xf numFmtId="9" fontId="20" fillId="7" borderId="13" xfId="13" applyFont="1" applyFill="1" applyBorder="1" applyAlignment="1">
      <alignment horizontal="center" vertical="center" wrapText="1"/>
    </xf>
    <xf numFmtId="4" fontId="20" fillId="7" borderId="14" xfId="0" applyNumberFormat="1" applyFont="1" applyFill="1" applyBorder="1" applyAlignment="1">
      <alignment horizontal="center" vertical="center" wrapText="1"/>
    </xf>
    <xf numFmtId="4" fontId="20" fillId="7" borderId="8" xfId="0" applyNumberFormat="1" applyFont="1" applyFill="1" applyBorder="1" applyAlignment="1">
      <alignment horizontal="center" vertical="center" wrapText="1"/>
    </xf>
    <xf numFmtId="0" fontId="33" fillId="20" borderId="1" xfId="0" applyFont="1" applyFill="1" applyBorder="1" applyAlignment="1">
      <alignment horizontal="justify" vertical="center" wrapText="1"/>
    </xf>
    <xf numFmtId="0" fontId="33" fillId="20" borderId="14" xfId="0" applyFont="1" applyFill="1" applyBorder="1" applyAlignment="1">
      <alignment horizontal="left" vertical="center" wrapText="1"/>
    </xf>
    <xf numFmtId="0" fontId="7" fillId="8" borderId="7"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22" fillId="0" borderId="0" xfId="0" applyFont="1" applyAlignment="1">
      <alignment horizontal="center" vertical="center" wrapText="1"/>
    </xf>
    <xf numFmtId="1" fontId="7" fillId="8" borderId="1" xfId="0" applyNumberFormat="1" applyFont="1" applyFill="1" applyBorder="1" applyAlignment="1">
      <alignment horizontal="center" vertical="center" wrapText="1"/>
    </xf>
    <xf numFmtId="164" fontId="27" fillId="8" borderId="7" xfId="0" applyNumberFormat="1" applyFont="1" applyFill="1" applyBorder="1" applyAlignment="1">
      <alignment horizontal="center" vertical="center" wrapText="1"/>
    </xf>
    <xf numFmtId="164" fontId="27" fillId="8" borderId="4" xfId="0" applyNumberFormat="1" applyFont="1" applyFill="1" applyBorder="1" applyAlignment="1">
      <alignment horizontal="center" vertical="center" wrapText="1"/>
    </xf>
    <xf numFmtId="3" fontId="7" fillId="8" borderId="8" xfId="0" applyNumberFormat="1" applyFont="1" applyFill="1" applyBorder="1" applyAlignment="1">
      <alignment horizontal="center" vertical="center" wrapText="1"/>
    </xf>
    <xf numFmtId="3" fontId="7" fillId="8" borderId="14" xfId="0" applyNumberFormat="1"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7" borderId="13" xfId="0" applyFont="1" applyFill="1" applyBorder="1" applyAlignment="1">
      <alignment horizontal="justify" vertical="center" wrapText="1"/>
    </xf>
    <xf numFmtId="0" fontId="8" fillId="7" borderId="14" xfId="0" applyFont="1" applyFill="1" applyBorder="1" applyAlignment="1">
      <alignment horizontal="justify" vertical="center" wrapText="1"/>
    </xf>
    <xf numFmtId="0" fontId="8" fillId="7" borderId="13"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8" fillId="7" borderId="8" xfId="0" applyFont="1" applyFill="1" applyBorder="1" applyAlignment="1">
      <alignment horizontal="left" vertical="center" wrapText="1"/>
    </xf>
    <xf numFmtId="0" fontId="8" fillId="7" borderId="13" xfId="0" applyFont="1" applyFill="1" applyBorder="1" applyAlignment="1">
      <alignment horizontal="left" vertical="center" wrapText="1"/>
    </xf>
    <xf numFmtId="0" fontId="8" fillId="7" borderId="14" xfId="0" applyFont="1" applyFill="1" applyBorder="1" applyAlignment="1">
      <alignment horizontal="left" vertical="center" wrapText="1"/>
    </xf>
    <xf numFmtId="3" fontId="27" fillId="9" borderId="10" xfId="0" applyNumberFormat="1" applyFont="1" applyFill="1" applyBorder="1" applyAlignment="1">
      <alignment horizontal="center" vertical="center" wrapText="1"/>
    </xf>
    <xf numFmtId="0" fontId="27" fillId="9" borderId="9" xfId="0" applyFont="1" applyFill="1" applyBorder="1" applyAlignment="1">
      <alignment horizontal="center" vertical="center" wrapText="1"/>
    </xf>
    <xf numFmtId="0" fontId="27" fillId="9" borderId="10" xfId="0" applyFont="1" applyFill="1" applyBorder="1" applyAlignment="1">
      <alignment horizontal="center" vertical="center" wrapText="1"/>
    </xf>
    <xf numFmtId="0" fontId="27" fillId="9" borderId="9" xfId="0" applyFont="1" applyFill="1" applyBorder="1" applyAlignment="1">
      <alignment horizontal="center" vertical="center"/>
    </xf>
    <xf numFmtId="0" fontId="27" fillId="9" borderId="10" xfId="0" applyFont="1" applyFill="1" applyBorder="1" applyAlignment="1">
      <alignment horizontal="center" vertical="center"/>
    </xf>
    <xf numFmtId="0" fontId="27" fillId="9" borderId="7" xfId="0" applyFont="1" applyFill="1" applyBorder="1" applyAlignment="1">
      <alignment horizontal="center" vertical="center" textRotation="90"/>
    </xf>
    <xf numFmtId="0" fontId="27" fillId="9" borderId="6" xfId="0" applyFont="1" applyFill="1" applyBorder="1" applyAlignment="1">
      <alignment horizontal="center" vertical="center" textRotation="90"/>
    </xf>
    <xf numFmtId="0" fontId="27" fillId="9" borderId="4" xfId="0" applyFont="1" applyFill="1" applyBorder="1" applyAlignment="1">
      <alignment horizontal="center" vertical="center" textRotation="90"/>
    </xf>
    <xf numFmtId="0" fontId="27" fillId="9" borderId="5" xfId="0" applyFont="1" applyFill="1" applyBorder="1" applyAlignment="1">
      <alignment horizontal="center" vertical="center" textRotation="90"/>
    </xf>
    <xf numFmtId="169" fontId="7" fillId="8" borderId="1" xfId="0" applyNumberFormat="1" applyFont="1" applyFill="1" applyBorder="1" applyAlignment="1">
      <alignment horizontal="center" vertical="center" wrapText="1"/>
    </xf>
    <xf numFmtId="0" fontId="8" fillId="0" borderId="8" xfId="0" applyFont="1" applyBorder="1" applyAlignment="1">
      <alignment horizontal="center" vertical="center" wrapText="1"/>
    </xf>
    <xf numFmtId="0" fontId="8" fillId="7" borderId="8" xfId="0" applyFont="1" applyFill="1" applyBorder="1" applyAlignment="1">
      <alignment horizontal="justify" vertical="center" wrapText="1"/>
    </xf>
    <xf numFmtId="174" fontId="8" fillId="7" borderId="8" xfId="0" applyNumberFormat="1" applyFont="1" applyFill="1" applyBorder="1" applyAlignment="1">
      <alignment horizontal="center" vertical="center"/>
    </xf>
    <xf numFmtId="174" fontId="8" fillId="7" borderId="13" xfId="0" applyNumberFormat="1" applyFont="1" applyFill="1" applyBorder="1" applyAlignment="1">
      <alignment horizontal="center" vertical="center"/>
    </xf>
    <xf numFmtId="174" fontId="8" fillId="7" borderId="14" xfId="0" applyNumberFormat="1" applyFont="1" applyFill="1" applyBorder="1" applyAlignment="1">
      <alignment horizontal="center" vertical="center"/>
    </xf>
    <xf numFmtId="0" fontId="8" fillId="0" borderId="37" xfId="0" applyFont="1" applyBorder="1" applyAlignment="1">
      <alignment horizontal="justify" vertical="center" wrapText="1"/>
    </xf>
    <xf numFmtId="0" fontId="8" fillId="0" borderId="13" xfId="0" applyFont="1" applyBorder="1" applyAlignment="1">
      <alignment horizontal="center" vertical="center"/>
    </xf>
    <xf numFmtId="1" fontId="8" fillId="0" borderId="36" xfId="0" applyNumberFormat="1" applyFont="1" applyBorder="1" applyAlignment="1">
      <alignment horizontal="center" vertical="center" wrapText="1"/>
    </xf>
    <xf numFmtId="1" fontId="8" fillId="0" borderId="38" xfId="0" applyNumberFormat="1" applyFont="1" applyBorder="1" applyAlignment="1">
      <alignment horizontal="center" vertical="center" wrapText="1"/>
    </xf>
    <xf numFmtId="41" fontId="8" fillId="0" borderId="37" xfId="0" applyNumberFormat="1" applyFont="1" applyBorder="1" applyAlignment="1">
      <alignment horizontal="justify" vertical="center"/>
    </xf>
    <xf numFmtId="0" fontId="8" fillId="0" borderId="11" xfId="0" applyFont="1" applyBorder="1" applyAlignment="1">
      <alignment horizontal="center" vertical="center" wrapText="1"/>
    </xf>
    <xf numFmtId="174" fontId="8" fillId="7" borderId="8" xfId="0" applyNumberFormat="1" applyFont="1" applyFill="1" applyBorder="1" applyAlignment="1">
      <alignment horizontal="center" vertical="center" wrapText="1"/>
    </xf>
    <xf numFmtId="174" fontId="8" fillId="7" borderId="13" xfId="0" applyNumberFormat="1" applyFont="1" applyFill="1" applyBorder="1" applyAlignment="1">
      <alignment horizontal="center" vertical="center" wrapText="1"/>
    </xf>
    <xf numFmtId="174" fontId="8" fillId="7" borderId="14" xfId="0" applyNumberFormat="1" applyFont="1" applyFill="1" applyBorder="1" applyAlignment="1">
      <alignment horizontal="center" vertical="center" wrapText="1"/>
    </xf>
    <xf numFmtId="0" fontId="8" fillId="0" borderId="8" xfId="0" applyFont="1" applyBorder="1" applyAlignment="1">
      <alignment horizontal="center" vertical="center"/>
    </xf>
    <xf numFmtId="0" fontId="8" fillId="0" borderId="14" xfId="0" applyFont="1" applyBorder="1" applyAlignment="1">
      <alignment horizontal="center" vertical="center"/>
    </xf>
    <xf numFmtId="14" fontId="8" fillId="0" borderId="8" xfId="0" applyNumberFormat="1" applyFont="1" applyBorder="1" applyAlignment="1">
      <alignment horizontal="center" vertical="center"/>
    </xf>
    <xf numFmtId="14" fontId="8" fillId="0" borderId="13" xfId="0" applyNumberFormat="1" applyFont="1" applyBorder="1" applyAlignment="1">
      <alignment horizontal="center" vertical="center"/>
    </xf>
    <xf numFmtId="14" fontId="8" fillId="0" borderId="14" xfId="0" applyNumberFormat="1" applyFont="1" applyBorder="1" applyAlignment="1">
      <alignment horizontal="center" vertical="center"/>
    </xf>
    <xf numFmtId="43" fontId="8" fillId="7" borderId="13" xfId="9" applyFont="1" applyFill="1" applyBorder="1" applyAlignment="1">
      <alignment horizontal="center" vertical="center" wrapText="1"/>
    </xf>
    <xf numFmtId="0" fontId="8" fillId="7" borderId="12" xfId="0" applyFont="1" applyFill="1" applyBorder="1" applyAlignment="1">
      <alignment horizontal="justify" vertical="center" wrapText="1"/>
    </xf>
    <xf numFmtId="0" fontId="8" fillId="0" borderId="37" xfId="0" applyFont="1" applyBorder="1" applyAlignment="1">
      <alignment horizontal="justify" vertical="center"/>
    </xf>
    <xf numFmtId="4" fontId="8" fillId="0" borderId="37" xfId="9" applyNumberFormat="1" applyFont="1" applyBorder="1" applyAlignment="1">
      <alignment horizontal="right" vertical="center"/>
    </xf>
    <xf numFmtId="0" fontId="8" fillId="0" borderId="37" xfId="0" applyFont="1" applyBorder="1" applyAlignment="1">
      <alignment horizontal="left" vertical="center" wrapText="1"/>
    </xf>
    <xf numFmtId="9" fontId="8" fillId="7" borderId="8" xfId="4" applyNumberFormat="1" applyFont="1" applyFill="1" applyBorder="1" applyAlignment="1">
      <alignment horizontal="center" vertical="center"/>
    </xf>
    <xf numFmtId="9" fontId="8" fillId="7" borderId="14" xfId="4" applyNumberFormat="1" applyFont="1" applyFill="1" applyBorder="1" applyAlignment="1">
      <alignment horizontal="center" vertical="center"/>
    </xf>
    <xf numFmtId="0" fontId="8" fillId="7" borderId="1" xfId="0" applyFont="1" applyFill="1" applyBorder="1" applyAlignment="1">
      <alignment horizontal="justify" vertical="center" wrapText="1"/>
    </xf>
    <xf numFmtId="0" fontId="8" fillId="0" borderId="12" xfId="0" applyFont="1" applyBorder="1" applyAlignment="1">
      <alignment horizontal="left" vertical="center" wrapText="1"/>
    </xf>
    <xf numFmtId="0" fontId="8" fillId="0" borderId="4" xfId="0" applyFont="1" applyBorder="1" applyAlignment="1">
      <alignment horizontal="left" vertical="center" wrapText="1"/>
    </xf>
    <xf numFmtId="3" fontId="8" fillId="0" borderId="8" xfId="0" applyNumberFormat="1" applyFont="1" applyBorder="1" applyAlignment="1">
      <alignment horizontal="center" vertical="center"/>
    </xf>
    <xf numFmtId="3" fontId="8" fillId="0" borderId="14" xfId="0" applyNumberFormat="1" applyFont="1" applyBorder="1" applyAlignment="1">
      <alignment horizontal="center" vertical="center"/>
    </xf>
    <xf numFmtId="0" fontId="8" fillId="0" borderId="11" xfId="0" applyFont="1" applyBorder="1" applyAlignment="1">
      <alignment horizontal="center" vertical="center"/>
    </xf>
    <xf numFmtId="0" fontId="8" fillId="7" borderId="1" xfId="0" applyFont="1" applyFill="1" applyBorder="1" applyAlignment="1">
      <alignment horizontal="left" vertical="center" wrapText="1"/>
    </xf>
    <xf numFmtId="0" fontId="8" fillId="7" borderId="1" xfId="0" applyFont="1" applyFill="1" applyBorder="1" applyAlignment="1">
      <alignment horizontal="center" vertical="center" wrapText="1"/>
    </xf>
    <xf numFmtId="1" fontId="8" fillId="7" borderId="1" xfId="0" applyNumberFormat="1" applyFont="1" applyFill="1" applyBorder="1" applyAlignment="1">
      <alignment horizontal="center" vertical="center"/>
    </xf>
    <xf numFmtId="0" fontId="8" fillId="7" borderId="1" xfId="0" applyFont="1" applyFill="1" applyBorder="1" applyAlignment="1">
      <alignment horizontal="center" vertical="center"/>
    </xf>
    <xf numFmtId="14" fontId="8" fillId="0" borderId="8" xfId="0" applyNumberFormat="1" applyFont="1" applyBorder="1" applyAlignment="1">
      <alignment horizontal="center" vertical="center" wrapText="1"/>
    </xf>
    <xf numFmtId="14" fontId="8" fillId="0" borderId="13" xfId="0" applyNumberFormat="1" applyFont="1" applyBorder="1" applyAlignment="1">
      <alignment horizontal="center" vertical="center" wrapText="1"/>
    </xf>
    <xf numFmtId="14" fontId="8" fillId="0" borderId="14" xfId="0" applyNumberFormat="1" applyFont="1" applyBorder="1" applyAlignment="1">
      <alignment horizontal="center" vertical="center" wrapText="1"/>
    </xf>
    <xf numFmtId="1" fontId="8" fillId="7" borderId="7" xfId="0" applyNumberFormat="1" applyFont="1" applyFill="1" applyBorder="1" applyAlignment="1">
      <alignment horizontal="center" vertical="center" wrapText="1"/>
    </xf>
    <xf numFmtId="1" fontId="8" fillId="7" borderId="3" xfId="0" applyNumberFormat="1" applyFont="1" applyFill="1" applyBorder="1" applyAlignment="1">
      <alignment horizontal="center" vertical="center" wrapText="1"/>
    </xf>
    <xf numFmtId="1" fontId="8" fillId="7" borderId="6" xfId="0" applyNumberFormat="1" applyFont="1" applyFill="1" applyBorder="1" applyAlignment="1">
      <alignment horizontal="center" vertical="center" wrapText="1"/>
    </xf>
    <xf numFmtId="1" fontId="8" fillId="7" borderId="12" xfId="0" applyNumberFormat="1" applyFont="1" applyFill="1" applyBorder="1" applyAlignment="1">
      <alignment horizontal="center" vertical="center" wrapText="1"/>
    </xf>
    <xf numFmtId="1" fontId="8" fillId="7" borderId="0" xfId="0" applyNumberFormat="1" applyFont="1" applyFill="1" applyBorder="1" applyAlignment="1">
      <alignment horizontal="center" vertical="center" wrapText="1"/>
    </xf>
    <xf numFmtId="1" fontId="8" fillId="7" borderId="11" xfId="0" applyNumberFormat="1" applyFont="1" applyFill="1" applyBorder="1" applyAlignment="1">
      <alignment horizontal="center" vertical="center" wrapText="1"/>
    </xf>
    <xf numFmtId="1" fontId="8" fillId="7" borderId="4" xfId="0" applyNumberFormat="1" applyFont="1" applyFill="1" applyBorder="1" applyAlignment="1">
      <alignment horizontal="center" vertical="center" wrapText="1"/>
    </xf>
    <xf numFmtId="1" fontId="8" fillId="7" borderId="2" xfId="0" applyNumberFormat="1" applyFont="1" applyFill="1" applyBorder="1" applyAlignment="1">
      <alignment horizontal="center" vertical="center" wrapText="1"/>
    </xf>
    <xf numFmtId="1" fontId="8" fillId="7" borderId="5" xfId="0" applyNumberFormat="1"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0" borderId="6" xfId="0" applyFont="1" applyBorder="1" applyAlignment="1">
      <alignment horizontal="center" vertical="center"/>
    </xf>
    <xf numFmtId="0" fontId="8" fillId="7" borderId="8" xfId="0" applyFont="1" applyFill="1" applyBorder="1" applyAlignment="1">
      <alignment horizontal="center" vertical="center"/>
    </xf>
    <xf numFmtId="0" fontId="8" fillId="7" borderId="13" xfId="0" applyFont="1" applyFill="1" applyBorder="1" applyAlignment="1">
      <alignment horizontal="center" vertical="center"/>
    </xf>
    <xf numFmtId="9" fontId="8" fillId="7" borderId="13" xfId="4" applyNumberFormat="1" applyFont="1" applyFill="1" applyBorder="1" applyAlignment="1">
      <alignment horizontal="center" vertical="center"/>
    </xf>
    <xf numFmtId="1" fontId="8" fillId="7" borderId="8" xfId="0" applyNumberFormat="1" applyFont="1" applyFill="1" applyBorder="1" applyAlignment="1">
      <alignment horizontal="center" vertical="center"/>
    </xf>
    <xf numFmtId="1" fontId="8" fillId="7" borderId="13" xfId="0" applyNumberFormat="1" applyFont="1" applyFill="1" applyBorder="1" applyAlignment="1">
      <alignment horizontal="center" vertical="center"/>
    </xf>
    <xf numFmtId="1" fontId="8" fillId="7" borderId="14" xfId="0" applyNumberFormat="1" applyFont="1" applyFill="1" applyBorder="1" applyAlignment="1">
      <alignment horizontal="center" vertical="center"/>
    </xf>
    <xf numFmtId="9" fontId="8" fillId="7" borderId="1" xfId="11" applyFont="1" applyFill="1" applyBorder="1" applyAlignment="1">
      <alignment horizontal="center" vertical="center"/>
    </xf>
    <xf numFmtId="43" fontId="8" fillId="7" borderId="1" xfId="9" applyFont="1" applyFill="1" applyBorder="1" applyAlignment="1">
      <alignment horizontal="center" vertical="center" wrapText="1"/>
    </xf>
    <xf numFmtId="0" fontId="8" fillId="0" borderId="7" xfId="0" applyFont="1" applyBorder="1" applyAlignment="1">
      <alignment horizontal="left" vertical="center" wrapText="1"/>
    </xf>
    <xf numFmtId="0" fontId="28" fillId="0" borderId="8"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4" xfId="0" applyFont="1" applyBorder="1" applyAlignment="1">
      <alignment horizontal="center" vertical="center" wrapText="1"/>
    </xf>
    <xf numFmtId="43" fontId="8" fillId="7" borderId="13" xfId="9" applyFont="1" applyFill="1" applyBorder="1" applyAlignment="1">
      <alignment horizontal="center" vertical="center"/>
    </xf>
    <xf numFmtId="43" fontId="8" fillId="7" borderId="11" xfId="9" applyFont="1" applyFill="1" applyBorder="1" applyAlignment="1">
      <alignment horizontal="center" vertical="center"/>
    </xf>
    <xf numFmtId="0" fontId="8" fillId="7" borderId="11" xfId="0" applyFont="1" applyFill="1" applyBorder="1" applyAlignment="1">
      <alignment horizontal="center" vertical="center"/>
    </xf>
    <xf numFmtId="1" fontId="28" fillId="0" borderId="8" xfId="0" applyNumberFormat="1" applyFont="1" applyBorder="1" applyAlignment="1">
      <alignment horizontal="center" vertical="center"/>
    </xf>
    <xf numFmtId="1" fontId="28" fillId="0" borderId="13" xfId="0" applyNumberFormat="1" applyFont="1" applyBorder="1" applyAlignment="1">
      <alignment horizontal="center" vertical="center"/>
    </xf>
    <xf numFmtId="1" fontId="28" fillId="0" borderId="14" xfId="0" applyNumberFormat="1" applyFont="1" applyBorder="1" applyAlignment="1">
      <alignment horizontal="center" vertical="center"/>
    </xf>
    <xf numFmtId="0" fontId="28" fillId="0" borderId="8" xfId="0" applyFont="1" applyBorder="1" applyAlignment="1">
      <alignment horizontal="center" vertical="center"/>
    </xf>
    <xf numFmtId="0" fontId="28" fillId="0" borderId="13" xfId="0" applyFont="1" applyBorder="1" applyAlignment="1">
      <alignment horizontal="center" vertical="center"/>
    </xf>
    <xf numFmtId="0" fontId="28" fillId="0" borderId="14" xfId="0" applyFont="1" applyBorder="1" applyAlignment="1">
      <alignment horizontal="center" vertical="center"/>
    </xf>
    <xf numFmtId="14" fontId="28" fillId="0" borderId="8" xfId="0" applyNumberFormat="1" applyFont="1" applyBorder="1" applyAlignment="1">
      <alignment horizontal="center" vertical="center" wrapText="1"/>
    </xf>
    <xf numFmtId="14" fontId="28" fillId="0" borderId="13" xfId="0" applyNumberFormat="1" applyFont="1" applyBorder="1" applyAlignment="1">
      <alignment horizontal="center" vertical="center" wrapText="1"/>
    </xf>
    <xf numFmtId="14" fontId="28" fillId="0" borderId="14" xfId="0" applyNumberFormat="1" applyFont="1" applyBorder="1" applyAlignment="1">
      <alignment horizontal="center" vertical="center" wrapText="1"/>
    </xf>
    <xf numFmtId="1" fontId="8" fillId="7" borderId="6" xfId="0" applyNumberFormat="1" applyFont="1" applyFill="1" applyBorder="1" applyAlignment="1">
      <alignment horizontal="center" vertical="center"/>
    </xf>
    <xf numFmtId="1" fontId="8" fillId="7" borderId="11" xfId="0" applyNumberFormat="1" applyFont="1" applyFill="1" applyBorder="1" applyAlignment="1">
      <alignment horizontal="center" vertical="center"/>
    </xf>
    <xf numFmtId="1" fontId="8" fillId="7" borderId="5" xfId="0" applyNumberFormat="1" applyFont="1" applyFill="1" applyBorder="1" applyAlignment="1">
      <alignment horizontal="center" vertical="center"/>
    </xf>
    <xf numFmtId="14" fontId="8" fillId="7" borderId="8" xfId="0" applyNumberFormat="1" applyFont="1" applyFill="1" applyBorder="1" applyAlignment="1">
      <alignment horizontal="center" vertical="center" wrapText="1"/>
    </xf>
    <xf numFmtId="14" fontId="8" fillId="7" borderId="13" xfId="0" applyNumberFormat="1" applyFont="1" applyFill="1" applyBorder="1" applyAlignment="1">
      <alignment horizontal="center" vertical="center" wrapText="1"/>
    </xf>
    <xf numFmtId="14" fontId="8" fillId="7" borderId="14" xfId="0" applyNumberFormat="1" applyFont="1" applyFill="1" applyBorder="1" applyAlignment="1">
      <alignment horizontal="center" vertical="center" wrapText="1"/>
    </xf>
    <xf numFmtId="0" fontId="8" fillId="7" borderId="8" xfId="0" applyFont="1" applyFill="1" applyBorder="1" applyAlignment="1">
      <alignment horizontal="left" vertical="center"/>
    </xf>
    <xf numFmtId="0" fontId="8" fillId="7" borderId="14" xfId="0" applyFont="1" applyFill="1" applyBorder="1" applyAlignment="1">
      <alignment horizontal="left" vertical="center"/>
    </xf>
    <xf numFmtId="9" fontId="8" fillId="7" borderId="37" xfId="11" applyFont="1" applyFill="1" applyBorder="1" applyAlignment="1">
      <alignment horizontal="center" vertical="center"/>
    </xf>
    <xf numFmtId="0" fontId="8" fillId="7" borderId="7" xfId="0" applyFont="1" applyFill="1" applyBorder="1" applyAlignment="1">
      <alignment horizontal="left" vertical="center" wrapText="1"/>
    </xf>
    <xf numFmtId="0" fontId="8" fillId="7" borderId="4" xfId="0" applyFont="1" applyFill="1" applyBorder="1" applyAlignment="1">
      <alignment horizontal="left" vertical="center" wrapText="1"/>
    </xf>
    <xf numFmtId="0" fontId="8" fillId="7" borderId="14" xfId="0" applyFont="1" applyFill="1" applyBorder="1" applyAlignment="1">
      <alignment horizontal="center" vertical="center"/>
    </xf>
    <xf numFmtId="0" fontId="8" fillId="0" borderId="0" xfId="0" applyFont="1" applyAlignment="1">
      <alignment horizontal="center"/>
    </xf>
    <xf numFmtId="0" fontId="8" fillId="0" borderId="11" xfId="0" applyFont="1" applyBorder="1" applyAlignment="1">
      <alignment horizontal="center"/>
    </xf>
    <xf numFmtId="0" fontId="8" fillId="0" borderId="8" xfId="0" applyFont="1" applyBorder="1" applyAlignment="1">
      <alignment horizontal="left" vertical="center" wrapText="1"/>
    </xf>
    <xf numFmtId="0" fontId="8" fillId="0" borderId="14" xfId="0" applyFont="1" applyBorder="1" applyAlignment="1">
      <alignment horizontal="left" vertical="center" wrapText="1"/>
    </xf>
    <xf numFmtId="0" fontId="8" fillId="0" borderId="8" xfId="0" applyFont="1" applyBorder="1" applyAlignment="1">
      <alignment horizontal="left" vertical="center"/>
    </xf>
    <xf numFmtId="0" fontId="8" fillId="0" borderId="14" xfId="0" applyFont="1" applyBorder="1" applyAlignment="1">
      <alignment horizontal="left" vertical="center"/>
    </xf>
    <xf numFmtId="1" fontId="8" fillId="0" borderId="8" xfId="0" applyNumberFormat="1" applyFont="1" applyBorder="1" applyAlignment="1">
      <alignment horizontal="center" vertical="center"/>
    </xf>
    <xf numFmtId="1" fontId="8" fillId="0" borderId="13" xfId="0" applyNumberFormat="1" applyFont="1" applyBorder="1" applyAlignment="1">
      <alignment horizontal="center" vertical="center"/>
    </xf>
    <xf numFmtId="1" fontId="8" fillId="0" borderId="14" xfId="0" applyNumberFormat="1" applyFont="1" applyBorder="1" applyAlignment="1">
      <alignment horizontal="center" vertical="center"/>
    </xf>
    <xf numFmtId="0" fontId="8" fillId="0" borderId="13" xfId="0" applyFont="1" applyBorder="1" applyAlignment="1">
      <alignment horizontal="justify" vertical="center" wrapText="1"/>
    </xf>
    <xf numFmtId="10" fontId="8" fillId="0" borderId="8" xfId="11" applyNumberFormat="1" applyFont="1" applyBorder="1" applyAlignment="1">
      <alignment horizontal="center" vertical="center"/>
    </xf>
    <xf numFmtId="10" fontId="8" fillId="0" borderId="14" xfId="11" applyNumberFormat="1" applyFont="1" applyBorder="1" applyAlignment="1">
      <alignment horizontal="center" vertical="center"/>
    </xf>
    <xf numFmtId="43" fontId="8" fillId="0" borderId="13" xfId="9" applyFont="1" applyBorder="1" applyAlignment="1">
      <alignment horizontal="center" vertical="center"/>
    </xf>
    <xf numFmtId="14" fontId="28" fillId="0" borderId="8" xfId="0" applyNumberFormat="1" applyFont="1" applyBorder="1" applyAlignment="1">
      <alignment horizontal="center" vertical="center"/>
    </xf>
    <xf numFmtId="14" fontId="28" fillId="0" borderId="13" xfId="0" applyNumberFormat="1" applyFont="1" applyBorder="1" applyAlignment="1">
      <alignment horizontal="center" vertical="center"/>
    </xf>
    <xf numFmtId="14" fontId="28" fillId="0" borderId="14" xfId="0" applyNumberFormat="1" applyFont="1" applyBorder="1" applyAlignment="1">
      <alignment horizontal="center" vertical="center"/>
    </xf>
    <xf numFmtId="0" fontId="8" fillId="0" borderId="8" xfId="0" applyFont="1" applyBorder="1" applyAlignment="1">
      <alignment vertical="center" wrapText="1"/>
    </xf>
    <xf numFmtId="0" fontId="8" fillId="0" borderId="14" xfId="0" applyFont="1" applyBorder="1" applyAlignment="1">
      <alignment vertical="center" wrapText="1"/>
    </xf>
    <xf numFmtId="10" fontId="8" fillId="0" borderId="13" xfId="11" applyNumberFormat="1" applyFont="1" applyBorder="1" applyAlignment="1">
      <alignment horizontal="center" vertical="center"/>
    </xf>
    <xf numFmtId="3" fontId="8" fillId="0" borderId="1" xfId="0" applyNumberFormat="1" applyFont="1" applyBorder="1" applyAlignment="1">
      <alignment horizontal="center" vertical="center"/>
    </xf>
    <xf numFmtId="0" fontId="8" fillId="7" borderId="7" xfId="0" applyFont="1" applyFill="1" applyBorder="1" applyAlignment="1">
      <alignment horizontal="justify" vertical="center" wrapText="1"/>
    </xf>
    <xf numFmtId="0" fontId="8" fillId="7" borderId="37" xfId="0" applyFont="1" applyFill="1" applyBorder="1" applyAlignment="1">
      <alignment horizontal="left" vertical="center" wrapText="1"/>
    </xf>
    <xf numFmtId="10" fontId="28" fillId="0" borderId="8" xfId="0" applyNumberFormat="1" applyFont="1" applyBorder="1" applyAlignment="1">
      <alignment horizontal="center" vertical="center"/>
    </xf>
    <xf numFmtId="10" fontId="28" fillId="0" borderId="14" xfId="0" applyNumberFormat="1" applyFont="1" applyBorder="1" applyAlignment="1">
      <alignment horizontal="center" vertical="center"/>
    </xf>
    <xf numFmtId="43" fontId="8" fillId="0" borderId="8" xfId="9" applyFont="1" applyBorder="1" applyAlignment="1">
      <alignment horizontal="center" vertical="center" wrapText="1"/>
    </xf>
    <xf numFmtId="43" fontId="8" fillId="0" borderId="14" xfId="9" applyFont="1" applyBorder="1" applyAlignment="1">
      <alignment horizontal="center" vertical="center" wrapText="1"/>
    </xf>
    <xf numFmtId="9" fontId="8" fillId="7" borderId="39" xfId="11" applyFont="1" applyFill="1" applyBorder="1" applyAlignment="1">
      <alignment horizontal="center" vertical="center"/>
    </xf>
    <xf numFmtId="9" fontId="8" fillId="7" borderId="14" xfId="11" applyFont="1" applyFill="1" applyBorder="1" applyAlignment="1">
      <alignment horizontal="center" vertical="center"/>
    </xf>
    <xf numFmtId="1" fontId="8" fillId="0" borderId="8" xfId="0" applyNumberFormat="1" applyFont="1" applyBorder="1" applyAlignment="1">
      <alignment horizontal="center" vertical="center" wrapText="1"/>
    </xf>
    <xf numFmtId="1" fontId="8" fillId="0" borderId="14" xfId="0" applyNumberFormat="1" applyFont="1" applyBorder="1" applyAlignment="1">
      <alignment horizontal="center" vertical="center" wrapText="1"/>
    </xf>
    <xf numFmtId="0" fontId="8" fillId="0" borderId="0" xfId="0" applyFont="1" applyAlignment="1">
      <alignment horizontal="center" vertical="center" wrapText="1"/>
    </xf>
    <xf numFmtId="9" fontId="8" fillId="7" borderId="13" xfId="11" applyFont="1" applyFill="1" applyBorder="1" applyAlignment="1">
      <alignment horizontal="center" vertical="center"/>
    </xf>
    <xf numFmtId="0" fontId="8" fillId="0" borderId="12" xfId="0" applyFont="1" applyBorder="1" applyAlignment="1">
      <alignment horizontal="justify" vertical="center" wrapText="1"/>
    </xf>
    <xf numFmtId="43" fontId="8" fillId="0" borderId="37" xfId="9" applyFont="1" applyFill="1" applyBorder="1" applyAlignment="1">
      <alignment horizontal="center" vertical="center" wrapText="1"/>
    </xf>
    <xf numFmtId="0" fontId="8" fillId="7" borderId="37" xfId="0" applyFont="1" applyFill="1" applyBorder="1" applyAlignment="1">
      <alignment horizontal="center" vertical="center"/>
    </xf>
    <xf numFmtId="0" fontId="8" fillId="7" borderId="37" xfId="0" applyFont="1" applyFill="1" applyBorder="1" applyAlignment="1">
      <alignment horizontal="justify" vertical="center"/>
    </xf>
    <xf numFmtId="1" fontId="28" fillId="0" borderId="1" xfId="0" applyNumberFormat="1" applyFont="1" applyBorder="1" applyAlignment="1">
      <alignment horizontal="center" vertical="center"/>
    </xf>
    <xf numFmtId="0" fontId="8" fillId="7" borderId="6" xfId="0" applyFont="1" applyFill="1" applyBorder="1" applyAlignment="1">
      <alignment horizontal="justify" vertical="center"/>
    </xf>
    <xf numFmtId="0" fontId="8" fillId="7" borderId="11" xfId="0" applyFont="1" applyFill="1" applyBorder="1" applyAlignment="1">
      <alignment horizontal="justify" vertical="center"/>
    </xf>
    <xf numFmtId="0" fontId="8" fillId="7" borderId="5" xfId="0" applyFont="1" applyFill="1" applyBorder="1" applyAlignment="1">
      <alignment horizontal="justify" vertical="center"/>
    </xf>
    <xf numFmtId="0" fontId="28" fillId="0" borderId="1" xfId="0" applyFont="1" applyBorder="1" applyAlignment="1">
      <alignment horizontal="center" vertical="center" wrapText="1"/>
    </xf>
    <xf numFmtId="1" fontId="7" fillId="7" borderId="1" xfId="0" applyNumberFormat="1" applyFont="1" applyFill="1" applyBorder="1" applyAlignment="1">
      <alignment horizontal="center" vertical="center" wrapText="1"/>
    </xf>
    <xf numFmtId="0" fontId="7" fillId="7" borderId="13" xfId="0" applyFont="1" applyFill="1" applyBorder="1" applyAlignment="1">
      <alignment horizontal="center" vertical="center"/>
    </xf>
    <xf numFmtId="0" fontId="7" fillId="7" borderId="14" xfId="0" applyFont="1" applyFill="1" applyBorder="1" applyAlignment="1">
      <alignment horizontal="center" vertical="center"/>
    </xf>
    <xf numFmtId="43" fontId="8" fillId="7" borderId="8" xfId="9" applyFont="1" applyFill="1" applyBorder="1" applyAlignment="1">
      <alignment horizontal="center" vertical="center" wrapText="1"/>
    </xf>
    <xf numFmtId="43" fontId="8" fillId="7" borderId="14" xfId="9" applyFont="1" applyFill="1" applyBorder="1" applyAlignment="1">
      <alignment horizontal="center" vertical="center" wrapText="1"/>
    </xf>
    <xf numFmtId="0" fontId="28" fillId="0" borderId="1" xfId="0" applyFont="1" applyBorder="1" applyAlignment="1">
      <alignment horizontal="center" vertical="center"/>
    </xf>
    <xf numFmtId="9" fontId="8" fillId="7" borderId="8" xfId="11"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1" fontId="8" fillId="0" borderId="1" xfId="0" applyNumberFormat="1" applyFont="1" applyBorder="1" applyAlignment="1">
      <alignment horizontal="center" vertical="center"/>
    </xf>
    <xf numFmtId="1" fontId="8" fillId="0" borderId="1" xfId="0" applyNumberFormat="1" applyFont="1" applyBorder="1" applyAlignment="1">
      <alignment horizontal="center" vertical="center" wrapText="1"/>
    </xf>
    <xf numFmtId="9" fontId="8" fillId="0" borderId="8" xfId="11" applyFont="1" applyBorder="1" applyAlignment="1">
      <alignment horizontal="center" vertical="center" wrapText="1"/>
    </xf>
    <xf numFmtId="9" fontId="8" fillId="0" borderId="13" xfId="11" applyFont="1" applyBorder="1" applyAlignment="1">
      <alignment horizontal="center" vertical="center" wrapText="1"/>
    </xf>
    <xf numFmtId="9" fontId="8" fillId="0" borderId="14" xfId="11" applyFont="1" applyBorder="1" applyAlignment="1">
      <alignment horizontal="center" vertical="center" wrapText="1"/>
    </xf>
    <xf numFmtId="43" fontId="8" fillId="0" borderId="1" xfId="9" applyFont="1" applyBorder="1" applyAlignment="1">
      <alignment horizontal="center" vertical="center"/>
    </xf>
    <xf numFmtId="1" fontId="28" fillId="0" borderId="1" xfId="0" applyNumberFormat="1" applyFont="1" applyBorder="1" applyAlignment="1">
      <alignment horizontal="center" vertical="center" wrapText="1"/>
    </xf>
    <xf numFmtId="43" fontId="8" fillId="0" borderId="8" xfId="9" applyFont="1" applyBorder="1" applyAlignment="1">
      <alignment horizontal="center" vertical="center"/>
    </xf>
    <xf numFmtId="43" fontId="8" fillId="0" borderId="14" xfId="9" applyFont="1" applyBorder="1" applyAlignment="1">
      <alignment horizontal="center" vertical="center"/>
    </xf>
    <xf numFmtId="1" fontId="8" fillId="7" borderId="1" xfId="0" applyNumberFormat="1" applyFont="1" applyFill="1" applyBorder="1" applyAlignment="1">
      <alignment horizontal="center" vertical="center" wrapText="1"/>
    </xf>
    <xf numFmtId="0" fontId="8" fillId="7" borderId="7" xfId="0" applyFont="1" applyFill="1" applyBorder="1" applyAlignment="1">
      <alignment horizontal="center" vertical="center"/>
    </xf>
    <xf numFmtId="0" fontId="8" fillId="7" borderId="3" xfId="0" applyFont="1" applyFill="1" applyBorder="1" applyAlignment="1">
      <alignment horizontal="center" vertical="center"/>
    </xf>
    <xf numFmtId="0" fontId="8" fillId="7" borderId="6" xfId="0" applyFont="1" applyFill="1" applyBorder="1" applyAlignment="1">
      <alignment horizontal="center" vertical="center"/>
    </xf>
    <xf numFmtId="0" fontId="8" fillId="7" borderId="12"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4" xfId="0" applyFont="1" applyFill="1" applyBorder="1" applyAlignment="1">
      <alignment horizontal="center" vertical="center"/>
    </xf>
    <xf numFmtId="0" fontId="8" fillId="7" borderId="2" xfId="0" applyFont="1" applyFill="1" applyBorder="1" applyAlignment="1">
      <alignment horizontal="center" vertical="center"/>
    </xf>
    <xf numFmtId="0" fontId="8" fillId="7" borderId="5" xfId="0" applyFont="1" applyFill="1" applyBorder="1" applyAlignment="1">
      <alignment horizontal="center" vertical="center"/>
    </xf>
    <xf numFmtId="3" fontId="8" fillId="0" borderId="1" xfId="0" applyNumberFormat="1" applyFont="1" applyBorder="1" applyAlignment="1">
      <alignment horizontal="center" vertical="center" wrapText="1"/>
    </xf>
    <xf numFmtId="9" fontId="8" fillId="7" borderId="1" xfId="11" applyFont="1" applyFill="1" applyBorder="1" applyAlignment="1">
      <alignment horizontal="center" vertical="center" wrapText="1"/>
    </xf>
    <xf numFmtId="14" fontId="8" fillId="7" borderId="8" xfId="0" applyNumberFormat="1" applyFont="1" applyFill="1" applyBorder="1" applyAlignment="1">
      <alignment horizontal="center" vertical="center"/>
    </xf>
    <xf numFmtId="14" fontId="8" fillId="7" borderId="13" xfId="0" applyNumberFormat="1" applyFont="1" applyFill="1" applyBorder="1" applyAlignment="1">
      <alignment horizontal="center" vertical="center"/>
    </xf>
    <xf numFmtId="43" fontId="8" fillId="7" borderId="1" xfId="9" applyFont="1" applyFill="1" applyBorder="1" applyAlignment="1">
      <alignment vertical="center" wrapText="1"/>
    </xf>
    <xf numFmtId="0" fontId="8" fillId="7" borderId="1" xfId="0" applyFont="1" applyFill="1" applyBorder="1" applyAlignment="1">
      <alignment vertical="center" wrapText="1"/>
    </xf>
    <xf numFmtId="14" fontId="28" fillId="0" borderId="8" xfId="0" applyNumberFormat="1" applyFont="1" applyBorder="1" applyAlignment="1">
      <alignment horizontal="right" vertical="center" wrapText="1"/>
    </xf>
    <xf numFmtId="14" fontId="28" fillId="0" borderId="13" xfId="0" applyNumberFormat="1" applyFont="1" applyBorder="1" applyAlignment="1">
      <alignment horizontal="right" vertical="center" wrapText="1"/>
    </xf>
    <xf numFmtId="14" fontId="28" fillId="0" borderId="14" xfId="0" applyNumberFormat="1" applyFont="1" applyBorder="1" applyAlignment="1">
      <alignment horizontal="right" vertical="center" wrapText="1"/>
    </xf>
    <xf numFmtId="43" fontId="8" fillId="7" borderId="8" xfId="9" applyFont="1" applyFill="1" applyBorder="1" applyAlignment="1">
      <alignment horizontal="center" vertical="center"/>
    </xf>
    <xf numFmtId="43" fontId="8" fillId="7" borderId="14" xfId="9" applyFont="1" applyFill="1" applyBorder="1" applyAlignment="1">
      <alignment horizontal="center" vertical="center"/>
    </xf>
    <xf numFmtId="1" fontId="7" fillId="7" borderId="1" xfId="0" applyNumberFormat="1" applyFont="1" applyFill="1" applyBorder="1" applyAlignment="1">
      <alignment horizontal="center" vertical="center"/>
    </xf>
    <xf numFmtId="0" fontId="7" fillId="7" borderId="1" xfId="0" applyFont="1" applyFill="1" applyBorder="1" applyAlignment="1">
      <alignment horizontal="center" vertical="center"/>
    </xf>
    <xf numFmtId="0" fontId="8" fillId="7" borderId="3" xfId="0" applyFont="1" applyFill="1" applyBorder="1" applyAlignment="1">
      <alignment horizontal="center"/>
    </xf>
    <xf numFmtId="0" fontId="8" fillId="7" borderId="6" xfId="0" applyFont="1" applyFill="1" applyBorder="1" applyAlignment="1">
      <alignment horizontal="center"/>
    </xf>
    <xf numFmtId="0" fontId="8" fillId="7" borderId="2" xfId="0" applyFont="1" applyFill="1" applyBorder="1" applyAlignment="1">
      <alignment horizontal="center"/>
    </xf>
    <xf numFmtId="0" fontId="8" fillId="7" borderId="5" xfId="0" applyFont="1" applyFill="1" applyBorder="1" applyAlignment="1">
      <alignment horizontal="center"/>
    </xf>
    <xf numFmtId="1" fontId="7" fillId="7" borderId="9" xfId="0" applyNumberFormat="1" applyFont="1" applyFill="1" applyBorder="1" applyAlignment="1">
      <alignment horizontal="center" vertical="center"/>
    </xf>
    <xf numFmtId="1" fontId="7" fillId="7" borderId="10" xfId="0" applyNumberFormat="1" applyFont="1" applyFill="1" applyBorder="1" applyAlignment="1">
      <alignment horizontal="center" vertical="center"/>
    </xf>
    <xf numFmtId="1" fontId="7" fillId="7" borderId="15" xfId="0" applyNumberFormat="1" applyFont="1" applyFill="1" applyBorder="1" applyAlignment="1">
      <alignment horizontal="center" vertical="center"/>
    </xf>
    <xf numFmtId="0" fontId="7" fillId="0" borderId="0" xfId="0" applyFont="1" applyAlignment="1">
      <alignment horizontal="left" wrapText="1"/>
    </xf>
    <xf numFmtId="0" fontId="30" fillId="14" borderId="7" xfId="0" applyFont="1" applyFill="1" applyBorder="1" applyAlignment="1" applyProtection="1">
      <alignment horizontal="center" vertical="center" wrapText="1"/>
    </xf>
    <xf numFmtId="0" fontId="30" fillId="14" borderId="12" xfId="0" applyFont="1" applyFill="1" applyBorder="1" applyAlignment="1" applyProtection="1">
      <alignment horizontal="center" vertical="center" wrapText="1"/>
    </xf>
    <xf numFmtId="0" fontId="30" fillId="14" borderId="8" xfId="0" applyFont="1" applyFill="1" applyBorder="1" applyAlignment="1" applyProtection="1">
      <alignment horizontal="center" vertical="center" wrapText="1"/>
    </xf>
    <xf numFmtId="0" fontId="30" fillId="14" borderId="13" xfId="0" applyFont="1" applyFill="1" applyBorder="1" applyAlignment="1" applyProtection="1">
      <alignment horizontal="center" vertical="center" wrapText="1"/>
    </xf>
    <xf numFmtId="0" fontId="30" fillId="0" borderId="0" xfId="0" applyFont="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2" xfId="0" applyFont="1" applyBorder="1" applyAlignment="1" applyProtection="1">
      <alignment horizontal="center" vertical="center" wrapText="1"/>
    </xf>
    <xf numFmtId="0" fontId="30" fillId="0" borderId="5" xfId="0" applyFont="1" applyBorder="1" applyAlignment="1" applyProtection="1">
      <alignment horizontal="center" vertical="center" wrapText="1"/>
    </xf>
    <xf numFmtId="0" fontId="30" fillId="0" borderId="6" xfId="0" applyFont="1" applyBorder="1" applyAlignment="1" applyProtection="1">
      <alignment horizontal="center" vertical="center"/>
    </xf>
    <xf numFmtId="0" fontId="30" fillId="0" borderId="9" xfId="0" applyFont="1" applyBorder="1" applyAlignment="1" applyProtection="1">
      <alignment horizontal="center" vertical="center"/>
    </xf>
    <xf numFmtId="0" fontId="30" fillId="0" borderId="10"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14" borderId="6" xfId="0" applyFont="1" applyFill="1" applyBorder="1" applyAlignment="1" applyProtection="1">
      <alignment horizontal="center" vertical="center" wrapText="1"/>
    </xf>
    <xf numFmtId="0" fontId="30" fillId="14" borderId="11" xfId="0" applyFont="1" applyFill="1" applyBorder="1" applyAlignment="1" applyProtection="1">
      <alignment horizontal="center" vertical="center" wrapText="1"/>
    </xf>
    <xf numFmtId="164" fontId="30" fillId="14" borderId="1" xfId="0" applyNumberFormat="1" applyFont="1" applyFill="1" applyBorder="1" applyAlignment="1" applyProtection="1">
      <alignment horizontal="center" vertical="center" wrapText="1"/>
    </xf>
    <xf numFmtId="164" fontId="30" fillId="14" borderId="7" xfId="0" applyNumberFormat="1" applyFont="1" applyFill="1" applyBorder="1" applyAlignment="1" applyProtection="1">
      <alignment horizontal="center" vertical="center" wrapText="1"/>
    </xf>
    <xf numFmtId="164" fontId="30" fillId="14" borderId="4" xfId="0" applyNumberFormat="1" applyFont="1" applyFill="1" applyBorder="1" applyAlignment="1" applyProtection="1">
      <alignment horizontal="center" vertical="center" wrapText="1"/>
    </xf>
    <xf numFmtId="3" fontId="30" fillId="14" borderId="8" xfId="0" applyNumberFormat="1" applyFont="1" applyFill="1" applyBorder="1" applyAlignment="1" applyProtection="1">
      <alignment horizontal="center" vertical="center" wrapText="1"/>
    </xf>
    <xf numFmtId="3" fontId="30" fillId="14" borderId="13" xfId="0" applyNumberFormat="1" applyFont="1" applyFill="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12" xfId="0" applyFont="1" applyBorder="1" applyAlignment="1" applyProtection="1">
      <alignment horizontal="center" vertical="center" wrapText="1"/>
    </xf>
    <xf numFmtId="0" fontId="20" fillId="0" borderId="11" xfId="0" applyFont="1" applyBorder="1" applyAlignment="1" applyProtection="1">
      <alignment horizontal="center" vertical="center" wrapText="1"/>
    </xf>
    <xf numFmtId="0" fontId="20" fillId="0" borderId="4"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7" borderId="8" xfId="0" applyFont="1" applyFill="1" applyBorder="1" applyAlignment="1" applyProtection="1">
      <alignment horizontal="justify" vertical="center" wrapText="1"/>
    </xf>
    <xf numFmtId="0" fontId="4" fillId="7" borderId="13" xfId="0" applyFont="1" applyFill="1" applyBorder="1" applyAlignment="1" applyProtection="1">
      <alignment horizontal="justify" vertical="center" wrapText="1"/>
    </xf>
    <xf numFmtId="0" fontId="4" fillId="7" borderId="14" xfId="0" applyFont="1" applyFill="1" applyBorder="1" applyAlignment="1" applyProtection="1">
      <alignment horizontal="justify" vertical="center" wrapText="1"/>
    </xf>
    <xf numFmtId="0" fontId="20" fillId="7" borderId="8" xfId="0" applyFont="1" applyFill="1" applyBorder="1" applyAlignment="1" applyProtection="1">
      <alignment horizontal="justify" vertical="center" wrapText="1"/>
    </xf>
    <xf numFmtId="0" fontId="20" fillId="7" borderId="13" xfId="0" applyFont="1" applyFill="1" applyBorder="1" applyAlignment="1" applyProtection="1">
      <alignment horizontal="justify" vertical="center" wrapText="1"/>
    </xf>
    <xf numFmtId="0" fontId="20" fillId="7" borderId="14" xfId="0" applyFont="1" applyFill="1" applyBorder="1" applyAlignment="1" applyProtection="1">
      <alignment horizontal="justify" vertical="center" wrapText="1"/>
    </xf>
    <xf numFmtId="0" fontId="20" fillId="7" borderId="8" xfId="0" applyFont="1" applyFill="1" applyBorder="1" applyAlignment="1" applyProtection="1">
      <alignment horizontal="center" vertical="center" wrapText="1"/>
    </xf>
    <xf numFmtId="0" fontId="20" fillId="7" borderId="13" xfId="0" applyFont="1" applyFill="1" applyBorder="1" applyAlignment="1" applyProtection="1">
      <alignment horizontal="center" vertical="center" wrapText="1"/>
    </xf>
    <xf numFmtId="0" fontId="20" fillId="7" borderId="14" xfId="0" applyFont="1" applyFill="1" applyBorder="1" applyAlignment="1" applyProtection="1">
      <alignment horizontal="center" vertical="center" wrapText="1"/>
    </xf>
    <xf numFmtId="175" fontId="20" fillId="7" borderId="8" xfId="0" applyNumberFormat="1" applyFont="1" applyFill="1" applyBorder="1" applyAlignment="1" applyProtection="1">
      <alignment horizontal="center" vertical="center" wrapText="1"/>
    </xf>
    <xf numFmtId="175" fontId="20" fillId="7" borderId="13" xfId="0" applyNumberFormat="1" applyFont="1" applyFill="1" applyBorder="1" applyAlignment="1" applyProtection="1">
      <alignment horizontal="center" vertical="center" wrapText="1"/>
    </xf>
    <xf numFmtId="175" fontId="20" fillId="7" borderId="14" xfId="0" applyNumberFormat="1" applyFont="1" applyFill="1" applyBorder="1" applyAlignment="1" applyProtection="1">
      <alignment horizontal="center" vertical="center" wrapText="1"/>
    </xf>
    <xf numFmtId="0" fontId="7" fillId="9" borderId="1" xfId="0" applyFont="1" applyFill="1" applyBorder="1" applyAlignment="1" applyProtection="1">
      <alignment horizontal="center" vertical="center" wrapText="1"/>
    </xf>
    <xf numFmtId="165" fontId="30" fillId="14" borderId="8" xfId="0" applyNumberFormat="1" applyFont="1" applyFill="1" applyBorder="1" applyAlignment="1" applyProtection="1">
      <alignment horizontal="center" vertical="center" wrapText="1"/>
    </xf>
    <xf numFmtId="165" fontId="30" fillId="14" borderId="13" xfId="0" applyNumberFormat="1" applyFont="1" applyFill="1" applyBorder="1" applyAlignment="1" applyProtection="1">
      <alignment horizontal="center" vertical="center" wrapText="1"/>
    </xf>
    <xf numFmtId="165" fontId="30" fillId="14" borderId="7" xfId="0" applyNumberFormat="1" applyFont="1" applyFill="1" applyBorder="1" applyAlignment="1" applyProtection="1">
      <alignment horizontal="center" vertical="center" wrapText="1"/>
    </xf>
    <xf numFmtId="165" fontId="30" fillId="14" borderId="12" xfId="0" applyNumberFormat="1" applyFont="1" applyFill="1" applyBorder="1" applyAlignment="1" applyProtection="1">
      <alignment horizontal="center" vertical="center" wrapText="1"/>
    </xf>
    <xf numFmtId="3" fontId="20" fillId="7" borderId="8" xfId="7" applyNumberFormat="1" applyFont="1" applyFill="1" applyBorder="1" applyAlignment="1" applyProtection="1">
      <alignment horizontal="center" vertical="center"/>
    </xf>
    <xf numFmtId="3" fontId="20" fillId="7" borderId="13" xfId="7" applyNumberFormat="1" applyFont="1" applyFill="1" applyBorder="1" applyAlignment="1" applyProtection="1">
      <alignment horizontal="center" vertical="center"/>
    </xf>
    <xf numFmtId="3" fontId="20" fillId="7" borderId="14" xfId="7" applyNumberFormat="1" applyFont="1" applyFill="1" applyBorder="1" applyAlignment="1" applyProtection="1">
      <alignment horizontal="center" vertical="center"/>
    </xf>
    <xf numFmtId="3" fontId="20" fillId="7" borderId="8" xfId="0" applyNumberFormat="1" applyFont="1" applyFill="1" applyBorder="1" applyAlignment="1" applyProtection="1">
      <alignment horizontal="center" vertical="center"/>
    </xf>
    <xf numFmtId="3" fontId="20" fillId="7" borderId="13" xfId="0" applyNumberFormat="1" applyFont="1" applyFill="1" applyBorder="1" applyAlignment="1" applyProtection="1">
      <alignment horizontal="center" vertical="center"/>
    </xf>
    <xf numFmtId="3" fontId="20" fillId="7" borderId="14" xfId="0" applyNumberFormat="1" applyFont="1" applyFill="1" applyBorder="1" applyAlignment="1" applyProtection="1">
      <alignment horizontal="center" vertical="center"/>
    </xf>
    <xf numFmtId="176" fontId="20" fillId="0" borderId="8" xfId="0" applyNumberFormat="1" applyFont="1" applyBorder="1" applyAlignment="1" applyProtection="1">
      <alignment horizontal="center" vertical="center" wrapText="1"/>
    </xf>
    <xf numFmtId="176" fontId="20" fillId="0" borderId="13" xfId="0" applyNumberFormat="1" applyFont="1" applyBorder="1" applyAlignment="1" applyProtection="1">
      <alignment horizontal="center" vertical="center" wrapText="1"/>
    </xf>
    <xf numFmtId="176" fontId="20" fillId="0" borderId="14" xfId="0" applyNumberFormat="1" applyFont="1" applyBorder="1" applyAlignment="1" applyProtection="1">
      <alignment horizontal="center" vertical="center" wrapText="1"/>
    </xf>
    <xf numFmtId="174" fontId="20" fillId="7" borderId="8" xfId="11" applyNumberFormat="1" applyFont="1" applyFill="1" applyBorder="1" applyAlignment="1" applyProtection="1">
      <alignment horizontal="center" vertical="center"/>
    </xf>
    <xf numFmtId="174" fontId="20" fillId="7" borderId="13" xfId="11" applyNumberFormat="1" applyFont="1" applyFill="1" applyBorder="1" applyAlignment="1" applyProtection="1">
      <alignment horizontal="center" vertical="center"/>
    </xf>
    <xf numFmtId="174" fontId="20" fillId="7" borderId="14" xfId="11" applyNumberFormat="1" applyFont="1" applyFill="1" applyBorder="1" applyAlignment="1" applyProtection="1">
      <alignment horizontal="center" vertical="center"/>
    </xf>
    <xf numFmtId="43" fontId="20" fillId="7" borderId="14" xfId="1" applyFont="1" applyFill="1" applyBorder="1" applyAlignment="1" applyProtection="1">
      <alignment horizontal="center" vertical="center"/>
    </xf>
    <xf numFmtId="43" fontId="20" fillId="7" borderId="1" xfId="1" applyFont="1" applyFill="1" applyBorder="1" applyAlignment="1" applyProtection="1">
      <alignment horizontal="center" vertical="center"/>
    </xf>
    <xf numFmtId="14" fontId="20" fillId="0" borderId="5" xfId="0" applyNumberFormat="1" applyFont="1" applyBorder="1" applyAlignment="1" applyProtection="1">
      <alignment horizontal="center" vertical="center"/>
    </xf>
    <xf numFmtId="14" fontId="20" fillId="0" borderId="15" xfId="0" applyNumberFormat="1" applyFont="1" applyBorder="1" applyAlignment="1" applyProtection="1">
      <alignment horizontal="center" vertical="center"/>
    </xf>
    <xf numFmtId="14" fontId="20" fillId="0" borderId="14" xfId="0" applyNumberFormat="1" applyFont="1" applyBorder="1" applyAlignment="1" applyProtection="1">
      <alignment horizontal="center" vertical="center"/>
    </xf>
    <xf numFmtId="14" fontId="20" fillId="0" borderId="1" xfId="0" applyNumberFormat="1" applyFont="1" applyBorder="1" applyAlignment="1" applyProtection="1">
      <alignment horizontal="center" vertical="center"/>
    </xf>
    <xf numFmtId="0" fontId="4" fillId="7" borderId="8" xfId="0" applyFont="1" applyFill="1" applyBorder="1" applyAlignment="1" applyProtection="1">
      <alignment horizontal="center" vertical="center" wrapText="1"/>
    </xf>
    <xf numFmtId="0" fontId="4" fillId="7" borderId="13" xfId="0" applyFont="1" applyFill="1" applyBorder="1" applyAlignment="1" applyProtection="1">
      <alignment horizontal="center" vertical="center" wrapText="1"/>
    </xf>
    <xf numFmtId="0" fontId="4" fillId="7" borderId="14" xfId="0" applyFont="1" applyFill="1" applyBorder="1" applyAlignment="1" applyProtection="1">
      <alignment horizontal="center" vertical="center" wrapText="1"/>
    </xf>
    <xf numFmtId="0" fontId="20" fillId="7" borderId="3" xfId="0" applyFont="1" applyFill="1" applyBorder="1" applyAlignment="1" applyProtection="1">
      <alignment horizontal="center" vertical="center" wrapText="1"/>
    </xf>
    <xf numFmtId="0" fontId="20" fillId="7" borderId="6" xfId="0" applyFont="1" applyFill="1" applyBorder="1" applyAlignment="1" applyProtection="1">
      <alignment horizontal="center" vertical="center" wrapText="1"/>
    </xf>
    <xf numFmtId="0" fontId="20" fillId="7" borderId="0" xfId="0" applyFont="1" applyFill="1" applyBorder="1" applyAlignment="1" applyProtection="1">
      <alignment horizontal="center" vertical="center" wrapText="1"/>
    </xf>
    <xf numFmtId="0" fontId="20" fillId="7" borderId="11" xfId="0" applyFont="1" applyFill="1" applyBorder="1" applyAlignment="1" applyProtection="1">
      <alignment horizontal="center" vertical="center" wrapText="1"/>
    </xf>
    <xf numFmtId="0" fontId="20" fillId="7" borderId="2" xfId="0" applyFont="1" applyFill="1" applyBorder="1" applyAlignment="1" applyProtection="1">
      <alignment horizontal="center" vertical="center" wrapText="1"/>
    </xf>
    <xf numFmtId="0" fontId="20" fillId="7" borderId="5" xfId="0" applyFont="1" applyFill="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4" fillId="0" borderId="13" xfId="0" applyFont="1" applyBorder="1" applyAlignment="1" applyProtection="1">
      <alignment horizontal="justify" vertical="center" wrapText="1"/>
    </xf>
    <xf numFmtId="1" fontId="8" fillId="7" borderId="14" xfId="5" applyNumberFormat="1" applyFont="1" applyFill="1" applyBorder="1" applyAlignment="1" applyProtection="1">
      <alignment horizontal="center" vertical="center" wrapText="1"/>
    </xf>
    <xf numFmtId="1" fontId="8" fillId="7" borderId="8" xfId="5" applyNumberFormat="1" applyFont="1" applyFill="1" applyBorder="1" applyAlignment="1" applyProtection="1">
      <alignment horizontal="center" vertical="center" wrapText="1"/>
    </xf>
    <xf numFmtId="0" fontId="4" fillId="0" borderId="1" xfId="0" applyFont="1" applyBorder="1" applyAlignment="1" applyProtection="1">
      <alignment horizontal="justify" vertical="center" wrapText="1"/>
    </xf>
    <xf numFmtId="0" fontId="20" fillId="7" borderId="1" xfId="0" applyFont="1" applyFill="1" applyBorder="1" applyAlignment="1" applyProtection="1">
      <alignment horizontal="justify" vertical="center" wrapText="1"/>
    </xf>
    <xf numFmtId="0" fontId="20" fillId="7" borderId="1" xfId="0" applyFont="1" applyFill="1" applyBorder="1" applyAlignment="1" applyProtection="1">
      <alignment horizontal="center" vertical="center"/>
    </xf>
    <xf numFmtId="0" fontId="8" fillId="7" borderId="8" xfId="0" applyFont="1" applyFill="1" applyBorder="1" applyAlignment="1" applyProtection="1">
      <alignment horizontal="center" vertical="center" wrapText="1"/>
    </xf>
    <xf numFmtId="0" fontId="8" fillId="7" borderId="13" xfId="0" applyFont="1" applyFill="1" applyBorder="1" applyAlignment="1" applyProtection="1">
      <alignment horizontal="center" vertical="center" wrapText="1"/>
    </xf>
    <xf numFmtId="0" fontId="8" fillId="7" borderId="14" xfId="0" applyFont="1" applyFill="1" applyBorder="1" applyAlignment="1" applyProtection="1">
      <alignment horizontal="center" vertical="center" wrapText="1"/>
    </xf>
    <xf numFmtId="9" fontId="20" fillId="7" borderId="13" xfId="11" applyNumberFormat="1" applyFont="1" applyFill="1" applyBorder="1" applyAlignment="1" applyProtection="1">
      <alignment horizontal="center" vertical="center"/>
    </xf>
    <xf numFmtId="43" fontId="20" fillId="7" borderId="8" xfId="1" applyFont="1" applyFill="1" applyBorder="1" applyAlignment="1" applyProtection="1">
      <alignment horizontal="center" vertical="center"/>
    </xf>
    <xf numFmtId="14" fontId="20" fillId="0" borderId="8" xfId="0" applyNumberFormat="1" applyFont="1" applyBorder="1" applyAlignment="1" applyProtection="1">
      <alignment horizontal="center" vertical="center"/>
    </xf>
    <xf numFmtId="14" fontId="20" fillId="0" borderId="13" xfId="0" applyNumberFormat="1" applyFont="1" applyBorder="1" applyAlignment="1" applyProtection="1">
      <alignment horizontal="center" vertical="center"/>
    </xf>
    <xf numFmtId="0" fontId="8" fillId="0" borderId="1" xfId="0" applyFont="1" applyBorder="1" applyAlignment="1" applyProtection="1">
      <alignment horizontal="center" vertical="center" wrapText="1"/>
    </xf>
    <xf numFmtId="0" fontId="4" fillId="0" borderId="6" xfId="0" applyFont="1" applyBorder="1" applyAlignment="1" applyProtection="1">
      <alignment horizontal="justify" vertical="center" wrapText="1"/>
    </xf>
    <xf numFmtId="0" fontId="4" fillId="0" borderId="11" xfId="0" applyFont="1" applyBorder="1" applyAlignment="1" applyProtection="1">
      <alignment horizontal="justify" vertical="center" wrapText="1"/>
    </xf>
    <xf numFmtId="0" fontId="20" fillId="7" borderId="8" xfId="0" applyFont="1" applyFill="1" applyBorder="1" applyAlignment="1" applyProtection="1">
      <alignment horizontal="center" vertical="center"/>
    </xf>
    <xf numFmtId="0" fontId="20" fillId="7" borderId="13" xfId="0" applyFont="1" applyFill="1" applyBorder="1" applyAlignment="1" applyProtection="1">
      <alignment horizontal="center" vertical="center"/>
    </xf>
    <xf numFmtId="0" fontId="4" fillId="7" borderId="3" xfId="0" applyFont="1" applyFill="1" applyBorder="1" applyAlignment="1" applyProtection="1">
      <alignment horizontal="justify" vertical="center" wrapText="1"/>
    </xf>
    <xf numFmtId="0" fontId="4" fillId="7" borderId="0" xfId="0" applyFont="1" applyFill="1" applyAlignment="1" applyProtection="1">
      <alignment horizontal="justify" vertical="center" wrapText="1"/>
    </xf>
    <xf numFmtId="0" fontId="4" fillId="7" borderId="2" xfId="0" applyFont="1" applyFill="1" applyBorder="1" applyAlignment="1" applyProtection="1">
      <alignment horizontal="justify" vertical="center" wrapText="1"/>
    </xf>
    <xf numFmtId="0" fontId="4" fillId="7" borderId="9" xfId="0" applyFont="1" applyFill="1" applyBorder="1" applyAlignment="1" applyProtection="1">
      <alignment horizontal="justify" vertical="center" wrapText="1"/>
    </xf>
    <xf numFmtId="0" fontId="4" fillId="7" borderId="1" xfId="0" applyFont="1" applyFill="1" applyBorder="1" applyAlignment="1" applyProtection="1">
      <alignment horizontal="justify" vertical="center" wrapText="1"/>
    </xf>
    <xf numFmtId="174" fontId="20" fillId="7" borderId="1" xfId="11" applyNumberFormat="1" applyFont="1" applyFill="1" applyBorder="1" applyAlignment="1" applyProtection="1">
      <alignment horizontal="center" vertical="center"/>
    </xf>
    <xf numFmtId="0" fontId="20" fillId="0" borderId="5" xfId="0" applyFont="1" applyBorder="1" applyAlignment="1" applyProtection="1">
      <alignment horizontal="justify" vertical="center" wrapText="1"/>
    </xf>
    <xf numFmtId="0" fontId="8" fillId="0" borderId="13"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4" fillId="0" borderId="8" xfId="0" applyFont="1" applyBorder="1" applyAlignment="1" applyProtection="1">
      <alignment horizontal="justify" vertical="center" wrapText="1"/>
    </xf>
    <xf numFmtId="0" fontId="4" fillId="0" borderId="14" xfId="0" applyFont="1" applyBorder="1" applyAlignment="1" applyProtection="1">
      <alignment horizontal="justify" vertical="center" wrapText="1"/>
    </xf>
    <xf numFmtId="0" fontId="20" fillId="7" borderId="14" xfId="0" applyFont="1" applyFill="1" applyBorder="1" applyAlignment="1" applyProtection="1">
      <alignment horizontal="center" vertical="center"/>
    </xf>
    <xf numFmtId="174" fontId="20" fillId="7" borderId="8" xfId="4" applyNumberFormat="1" applyFont="1" applyFill="1" applyBorder="1" applyAlignment="1" applyProtection="1">
      <alignment horizontal="center" vertical="center"/>
    </xf>
    <xf numFmtId="174" fontId="20" fillId="7" borderId="13" xfId="4" applyNumberFormat="1" applyFont="1" applyFill="1" applyBorder="1" applyAlignment="1" applyProtection="1">
      <alignment horizontal="center" vertical="center"/>
    </xf>
    <xf numFmtId="174" fontId="20" fillId="7" borderId="14" xfId="4" applyNumberFormat="1" applyFont="1" applyFill="1" applyBorder="1" applyAlignment="1" applyProtection="1">
      <alignment horizontal="center" vertical="center"/>
    </xf>
    <xf numFmtId="176" fontId="20" fillId="7" borderId="13" xfId="0" applyNumberFormat="1" applyFont="1" applyFill="1" applyBorder="1" applyAlignment="1" applyProtection="1">
      <alignment horizontal="center" vertical="center" wrapText="1"/>
    </xf>
    <xf numFmtId="1" fontId="20" fillId="7" borderId="8" xfId="0" applyNumberFormat="1" applyFont="1" applyFill="1" applyBorder="1" applyAlignment="1" applyProtection="1">
      <alignment horizontal="center" vertical="center"/>
    </xf>
    <xf numFmtId="1" fontId="20" fillId="7" borderId="13" xfId="0" applyNumberFormat="1" applyFont="1" applyFill="1" applyBorder="1" applyAlignment="1" applyProtection="1">
      <alignment horizontal="center" vertical="center"/>
    </xf>
    <xf numFmtId="0" fontId="13" fillId="7" borderId="3" xfId="0" applyFont="1" applyFill="1" applyBorder="1" applyAlignment="1" applyProtection="1">
      <alignment horizontal="center" vertical="center" wrapText="1"/>
    </xf>
    <xf numFmtId="0" fontId="13" fillId="7" borderId="6" xfId="0" applyFont="1" applyFill="1" applyBorder="1" applyAlignment="1" applyProtection="1">
      <alignment horizontal="center" vertical="center" wrapText="1"/>
    </xf>
    <xf numFmtId="0" fontId="13" fillId="7" borderId="0" xfId="0" applyFont="1" applyFill="1" applyBorder="1" applyAlignment="1" applyProtection="1">
      <alignment horizontal="center" vertical="center" wrapText="1"/>
    </xf>
    <xf numFmtId="0" fontId="13" fillId="7" borderId="11" xfId="0" applyFont="1" applyFill="1" applyBorder="1" applyAlignment="1" applyProtection="1">
      <alignment horizontal="center" vertical="center" wrapText="1"/>
    </xf>
    <xf numFmtId="0" fontId="13" fillId="7" borderId="2" xfId="0" applyFont="1" applyFill="1" applyBorder="1" applyAlignment="1" applyProtection="1">
      <alignment horizontal="center" vertical="center" wrapText="1"/>
    </xf>
    <xf numFmtId="0" fontId="13" fillId="7" borderId="5" xfId="0" applyFont="1" applyFill="1" applyBorder="1" applyAlignment="1" applyProtection="1">
      <alignment horizontal="center" vertical="center" wrapText="1"/>
    </xf>
    <xf numFmtId="0" fontId="35" fillId="0" borderId="8" xfId="0" applyFont="1" applyBorder="1" applyAlignment="1" applyProtection="1">
      <alignment horizontal="justify" vertical="center" wrapText="1"/>
    </xf>
    <xf numFmtId="0" fontId="35" fillId="0" borderId="13" xfId="0" applyFont="1" applyBorder="1" applyAlignment="1" applyProtection="1">
      <alignment horizontal="justify" vertical="center" wrapText="1"/>
    </xf>
    <xf numFmtId="0" fontId="13" fillId="7" borderId="8" xfId="0" applyFont="1" applyFill="1" applyBorder="1" applyAlignment="1" applyProtection="1">
      <alignment horizontal="center" vertical="center" wrapText="1"/>
    </xf>
    <xf numFmtId="0" fontId="13" fillId="7" borderId="13" xfId="0" applyFont="1" applyFill="1" applyBorder="1" applyAlignment="1" applyProtection="1">
      <alignment horizontal="center" vertical="center" wrapText="1"/>
    </xf>
    <xf numFmtId="175" fontId="13" fillId="7" borderId="8" xfId="0" applyNumberFormat="1" applyFont="1" applyFill="1" applyBorder="1" applyAlignment="1" applyProtection="1">
      <alignment horizontal="center" vertical="center" wrapText="1"/>
    </xf>
    <xf numFmtId="175" fontId="13" fillId="7" borderId="13" xfId="0" applyNumberFormat="1" applyFont="1" applyFill="1" applyBorder="1" applyAlignment="1" applyProtection="1">
      <alignment horizontal="center" vertical="center" wrapText="1"/>
    </xf>
    <xf numFmtId="0" fontId="20" fillId="7" borderId="1" xfId="0" applyFont="1" applyFill="1" applyBorder="1" applyAlignment="1" applyProtection="1">
      <alignment horizontal="center" vertical="center" wrapText="1"/>
    </xf>
    <xf numFmtId="14" fontId="20" fillId="7" borderId="14" xfId="0" applyNumberFormat="1" applyFont="1" applyFill="1" applyBorder="1" applyAlignment="1" applyProtection="1">
      <alignment horizontal="center" vertical="center"/>
    </xf>
    <xf numFmtId="49" fontId="8" fillId="7" borderId="8" xfId="17" applyNumberFormat="1" applyFont="1" applyFill="1" applyBorder="1" applyAlignment="1" applyProtection="1">
      <alignment horizontal="center" vertical="center" wrapText="1"/>
    </xf>
    <xf numFmtId="49" fontId="8" fillId="7" borderId="13" xfId="17" applyNumberFormat="1" applyFont="1" applyFill="1" applyBorder="1" applyAlignment="1" applyProtection="1">
      <alignment horizontal="center" vertical="center" wrapText="1"/>
    </xf>
    <xf numFmtId="176" fontId="13" fillId="7" borderId="1" xfId="3" applyNumberFormat="1" applyFont="1" applyFill="1" applyBorder="1" applyAlignment="1" applyProtection="1">
      <alignment horizontal="center" vertical="center"/>
    </xf>
    <xf numFmtId="176" fontId="13" fillId="7" borderId="8" xfId="3" applyNumberFormat="1" applyFont="1" applyFill="1" applyBorder="1" applyAlignment="1" applyProtection="1">
      <alignment horizontal="center" vertical="center"/>
    </xf>
    <xf numFmtId="176" fontId="13" fillId="7" borderId="8" xfId="0" applyNumberFormat="1" applyFont="1" applyFill="1" applyBorder="1" applyAlignment="1" applyProtection="1">
      <alignment horizontal="center" vertical="center" wrapText="1"/>
    </xf>
    <xf numFmtId="176" fontId="13" fillId="7" borderId="13" xfId="0" applyNumberFormat="1" applyFont="1" applyFill="1" applyBorder="1" applyAlignment="1" applyProtection="1">
      <alignment horizontal="center" vertical="center" wrapText="1"/>
    </xf>
    <xf numFmtId="0" fontId="35" fillId="7" borderId="8" xfId="0" applyFont="1" applyFill="1" applyBorder="1" applyAlignment="1" applyProtection="1">
      <alignment horizontal="justify" vertical="center" wrapText="1"/>
    </xf>
    <xf numFmtId="0" fontId="35" fillId="7" borderId="13" xfId="0" applyFont="1" applyFill="1" applyBorder="1" applyAlignment="1" applyProtection="1">
      <alignment horizontal="justify" vertical="center" wrapText="1"/>
    </xf>
    <xf numFmtId="9" fontId="13" fillId="7" borderId="8" xfId="4" applyNumberFormat="1" applyFont="1" applyFill="1" applyBorder="1" applyAlignment="1" applyProtection="1">
      <alignment horizontal="center" vertical="center"/>
    </xf>
    <xf numFmtId="9" fontId="13" fillId="7" borderId="13" xfId="4" applyNumberFormat="1" applyFont="1" applyFill="1" applyBorder="1" applyAlignment="1" applyProtection="1">
      <alignment horizontal="center" vertical="center"/>
    </xf>
    <xf numFmtId="43" fontId="13" fillId="7" borderId="8" xfId="1" applyFont="1" applyFill="1" applyBorder="1" applyAlignment="1" applyProtection="1">
      <alignment horizontal="center" vertical="center"/>
    </xf>
    <xf numFmtId="43" fontId="13" fillId="7" borderId="13" xfId="1" applyFont="1" applyFill="1" applyBorder="1" applyAlignment="1" applyProtection="1">
      <alignment horizontal="center" vertical="center"/>
    </xf>
    <xf numFmtId="43" fontId="16" fillId="7" borderId="8" xfId="18" applyFont="1" applyFill="1" applyBorder="1" applyAlignment="1" applyProtection="1">
      <alignment horizontal="justify" vertical="center" wrapText="1"/>
    </xf>
    <xf numFmtId="43" fontId="16" fillId="7" borderId="13" xfId="18" applyFont="1" applyFill="1" applyBorder="1" applyAlignment="1" applyProtection="1">
      <alignment horizontal="justify" vertical="center" wrapText="1"/>
    </xf>
    <xf numFmtId="14" fontId="13" fillId="0" borderId="1" xfId="0" applyNumberFormat="1" applyFont="1" applyBorder="1" applyAlignment="1" applyProtection="1">
      <alignment horizontal="center" vertical="center"/>
    </xf>
    <xf numFmtId="14" fontId="13" fillId="0" borderId="8" xfId="0" applyNumberFormat="1" applyFont="1" applyBorder="1" applyAlignment="1" applyProtection="1">
      <alignment horizontal="center" vertical="center"/>
    </xf>
    <xf numFmtId="0" fontId="35" fillId="0" borderId="15" xfId="0" applyFont="1" applyBorder="1" applyAlignment="1" applyProtection="1">
      <alignment horizontal="center" vertical="center" wrapText="1"/>
    </xf>
    <xf numFmtId="0" fontId="35" fillId="7" borderId="1" xfId="0" applyFont="1" applyFill="1" applyBorder="1" applyAlignment="1" applyProtection="1">
      <alignment horizontal="justify" vertical="center" wrapText="1"/>
    </xf>
    <xf numFmtId="0" fontId="13" fillId="7" borderId="1" xfId="0" applyFont="1" applyFill="1" applyBorder="1" applyAlignment="1" applyProtection="1">
      <alignment horizontal="justify" vertical="center" wrapText="1"/>
    </xf>
    <xf numFmtId="1" fontId="16" fillId="7" borderId="1" xfId="0" applyNumberFormat="1" applyFont="1" applyFill="1" applyBorder="1" applyAlignment="1" applyProtection="1">
      <alignment horizontal="center" vertical="center" wrapText="1"/>
    </xf>
    <xf numFmtId="175" fontId="13" fillId="7" borderId="1" xfId="0" applyNumberFormat="1" applyFont="1" applyFill="1" applyBorder="1" applyAlignment="1" applyProtection="1">
      <alignment horizontal="center" vertical="center" wrapText="1"/>
    </xf>
    <xf numFmtId="0" fontId="13" fillId="0" borderId="1" xfId="0" applyFont="1" applyBorder="1" applyAlignment="1" applyProtection="1">
      <alignment horizontal="center" vertical="center"/>
    </xf>
    <xf numFmtId="0" fontId="13" fillId="0" borderId="8" xfId="0" applyFont="1" applyBorder="1" applyAlignment="1" applyProtection="1">
      <alignment horizontal="center" vertical="center"/>
    </xf>
    <xf numFmtId="0" fontId="35" fillId="0" borderId="8" xfId="0" applyFont="1" applyBorder="1" applyAlignment="1" applyProtection="1">
      <alignment horizontal="center" vertical="center" wrapText="1"/>
    </xf>
    <xf numFmtId="0" fontId="35" fillId="0" borderId="13" xfId="0" applyFont="1" applyBorder="1" applyAlignment="1" applyProtection="1">
      <alignment horizontal="center" vertical="center" wrapText="1"/>
    </xf>
    <xf numFmtId="0" fontId="13" fillId="0" borderId="6" xfId="0" applyFont="1" applyBorder="1" applyAlignment="1" applyProtection="1">
      <alignment horizontal="center" vertical="center"/>
    </xf>
    <xf numFmtId="0" fontId="13" fillId="0" borderId="11" xfId="0" applyFont="1" applyBorder="1" applyAlignment="1" applyProtection="1">
      <alignment horizontal="center" vertical="center"/>
    </xf>
    <xf numFmtId="0" fontId="13" fillId="0" borderId="13" xfId="0" applyFont="1" applyBorder="1" applyAlignment="1" applyProtection="1">
      <alignment horizontal="center" vertical="center"/>
    </xf>
    <xf numFmtId="0" fontId="35" fillId="7" borderId="14" xfId="0" applyFont="1" applyFill="1" applyBorder="1" applyAlignment="1" applyProtection="1">
      <alignment horizontal="justify" vertical="center" wrapText="1"/>
    </xf>
    <xf numFmtId="43" fontId="16" fillId="0" borderId="14" xfId="1" applyFont="1" applyBorder="1" applyAlignment="1" applyProtection="1">
      <alignment horizontal="center" vertical="center"/>
    </xf>
    <xf numFmtId="43" fontId="16" fillId="0" borderId="1" xfId="1" applyFont="1" applyBorder="1" applyAlignment="1" applyProtection="1">
      <alignment horizontal="center" vertical="center"/>
    </xf>
    <xf numFmtId="0" fontId="13" fillId="0" borderId="13" xfId="0" applyFont="1" applyBorder="1" applyAlignment="1" applyProtection="1">
      <alignment horizontal="justify" vertical="center" wrapText="1"/>
    </xf>
    <xf numFmtId="0" fontId="13" fillId="0" borderId="14" xfId="0" applyFont="1" applyBorder="1" applyAlignment="1" applyProtection="1">
      <alignment horizontal="justify" vertical="center" wrapText="1"/>
    </xf>
    <xf numFmtId="14" fontId="13" fillId="0" borderId="14" xfId="0" applyNumberFormat="1" applyFont="1" applyBorder="1" applyAlignment="1" applyProtection="1">
      <alignment horizontal="center" vertical="center"/>
    </xf>
    <xf numFmtId="0" fontId="13" fillId="7" borderId="12" xfId="0" applyFont="1" applyFill="1" applyBorder="1" applyAlignment="1" applyProtection="1">
      <alignment horizontal="center" vertical="center" wrapText="1"/>
    </xf>
    <xf numFmtId="0" fontId="13" fillId="7" borderId="15" xfId="0" applyFont="1" applyFill="1" applyBorder="1" applyAlignment="1" applyProtection="1">
      <alignment horizontal="center" vertical="center" wrapText="1"/>
    </xf>
    <xf numFmtId="0" fontId="13" fillId="7" borderId="1" xfId="0"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3" fillId="0" borderId="8" xfId="0" applyFont="1" applyFill="1" applyBorder="1" applyAlignment="1" applyProtection="1">
      <alignment horizontal="justify" vertical="center" wrapText="1"/>
    </xf>
    <xf numFmtId="0" fontId="13" fillId="0" borderId="14" xfId="0" applyFont="1" applyFill="1" applyBorder="1" applyAlignment="1" applyProtection="1">
      <alignment horizontal="justify" vertical="center" wrapText="1"/>
    </xf>
    <xf numFmtId="0" fontId="35" fillId="0" borderId="14" xfId="0" applyFont="1" applyBorder="1" applyAlignment="1" applyProtection="1">
      <alignment horizontal="center" vertical="center" wrapText="1"/>
    </xf>
    <xf numFmtId="9" fontId="13" fillId="0" borderId="8" xfId="0" applyNumberFormat="1" applyFont="1" applyFill="1" applyBorder="1" applyAlignment="1" applyProtection="1">
      <alignment horizontal="center" vertical="center" wrapText="1"/>
    </xf>
    <xf numFmtId="9" fontId="13" fillId="0" borderId="14" xfId="0" applyNumberFormat="1" applyFont="1" applyFill="1" applyBorder="1" applyAlignment="1" applyProtection="1">
      <alignment horizontal="center" vertical="center" wrapText="1"/>
    </xf>
    <xf numFmtId="43" fontId="13" fillId="0" borderId="8" xfId="1" applyFont="1" applyFill="1" applyBorder="1" applyAlignment="1" applyProtection="1">
      <alignment horizontal="center" vertical="center" wrapText="1"/>
    </xf>
    <xf numFmtId="43" fontId="13" fillId="0" borderId="14" xfId="1" applyFont="1" applyFill="1" applyBorder="1" applyAlignment="1" applyProtection="1">
      <alignment horizontal="center" vertical="center" wrapText="1"/>
    </xf>
    <xf numFmtId="0" fontId="13" fillId="0" borderId="8" xfId="0" applyFont="1" applyFill="1" applyBorder="1" applyAlignment="1" applyProtection="1">
      <alignment horizontal="justify" vertical="center" wrapText="1" readingOrder="2"/>
    </xf>
    <xf numFmtId="0" fontId="13" fillId="0" borderId="14" xfId="0" applyFont="1" applyFill="1" applyBorder="1" applyAlignment="1" applyProtection="1">
      <alignment horizontal="justify" vertical="center" wrapText="1" readingOrder="2"/>
    </xf>
    <xf numFmtId="0" fontId="18" fillId="0" borderId="8" xfId="0" applyFont="1" applyFill="1" applyBorder="1" applyAlignment="1" applyProtection="1">
      <alignment horizontal="center" vertical="center" wrapText="1"/>
    </xf>
    <xf numFmtId="0" fontId="18" fillId="0" borderId="14" xfId="0" applyFont="1" applyFill="1" applyBorder="1" applyAlignment="1" applyProtection="1">
      <alignment horizontal="center" vertical="center" wrapText="1"/>
    </xf>
    <xf numFmtId="17" fontId="13" fillId="0" borderId="8" xfId="0" applyNumberFormat="1" applyFont="1" applyFill="1" applyBorder="1" applyAlignment="1" applyProtection="1">
      <alignment horizontal="center" vertical="center" wrapText="1"/>
    </xf>
    <xf numFmtId="0" fontId="20" fillId="0" borderId="8" xfId="0" applyFont="1" applyFill="1" applyBorder="1" applyAlignment="1" applyProtection="1">
      <alignment horizontal="center" vertical="center" wrapText="1"/>
    </xf>
    <xf numFmtId="0" fontId="20" fillId="0" borderId="13" xfId="0" applyFont="1" applyFill="1" applyBorder="1" applyAlignment="1" applyProtection="1">
      <alignment horizontal="center" vertical="center" wrapText="1"/>
    </xf>
    <xf numFmtId="0" fontId="20" fillId="0" borderId="14" xfId="0" applyFont="1" applyFill="1" applyBorder="1" applyAlignment="1" applyProtection="1">
      <alignment horizontal="center" vertical="center" wrapText="1"/>
    </xf>
    <xf numFmtId="0" fontId="20" fillId="0" borderId="8" xfId="0" applyFont="1" applyFill="1" applyBorder="1" applyAlignment="1" applyProtection="1">
      <alignment horizontal="justify" vertical="center" wrapText="1"/>
    </xf>
    <xf numFmtId="0" fontId="20" fillId="0" borderId="13" xfId="0" applyFont="1" applyFill="1" applyBorder="1" applyAlignment="1" applyProtection="1">
      <alignment horizontal="justify" vertical="center" wrapText="1"/>
    </xf>
    <xf numFmtId="0" fontId="20" fillId="0" borderId="14" xfId="0" applyFont="1" applyFill="1" applyBorder="1" applyAlignment="1" applyProtection="1">
      <alignment horizontal="justify" vertical="center" wrapText="1"/>
    </xf>
    <xf numFmtId="0" fontId="13" fillId="0" borderId="13" xfId="0" applyFont="1" applyFill="1" applyBorder="1" applyAlignment="1" applyProtection="1">
      <alignment horizontal="center" vertical="center" wrapText="1"/>
    </xf>
    <xf numFmtId="9" fontId="13" fillId="0" borderId="13" xfId="0" applyNumberFormat="1" applyFont="1" applyFill="1" applyBorder="1" applyAlignment="1" applyProtection="1">
      <alignment horizontal="center" vertical="center" wrapText="1"/>
    </xf>
    <xf numFmtId="43" fontId="13" fillId="0" borderId="13" xfId="1" applyFont="1" applyFill="1" applyBorder="1" applyAlignment="1" applyProtection="1">
      <alignment horizontal="center" vertical="center" wrapText="1"/>
    </xf>
    <xf numFmtId="0" fontId="13" fillId="0" borderId="13" xfId="0" applyFont="1" applyFill="1" applyBorder="1" applyAlignment="1" applyProtection="1">
      <alignment horizontal="justify" vertical="center" wrapText="1" readingOrder="2"/>
    </xf>
    <xf numFmtId="0" fontId="20" fillId="0" borderId="6" xfId="0" applyFont="1" applyBorder="1" applyAlignment="1" applyProtection="1">
      <alignment horizontal="center"/>
    </xf>
    <xf numFmtId="0" fontId="20" fillId="0" borderId="11" xfId="0" applyFont="1" applyBorder="1" applyAlignment="1" applyProtection="1">
      <alignment horizontal="center"/>
    </xf>
    <xf numFmtId="0" fontId="20" fillId="0" borderId="45" xfId="0" applyFont="1" applyBorder="1" applyAlignment="1" applyProtection="1">
      <alignment horizontal="center"/>
    </xf>
    <xf numFmtId="0" fontId="13" fillId="0" borderId="18" xfId="0" applyFont="1" applyFill="1" applyBorder="1" applyAlignment="1" applyProtection="1">
      <alignment horizontal="center" vertical="center" wrapText="1"/>
    </xf>
    <xf numFmtId="0" fontId="13" fillId="0" borderId="13" xfId="0" applyFont="1" applyFill="1" applyBorder="1" applyAlignment="1" applyProtection="1">
      <alignment horizontal="justify" vertical="center" wrapText="1"/>
    </xf>
    <xf numFmtId="0" fontId="13" fillId="0" borderId="18" xfId="0" applyFont="1" applyFill="1" applyBorder="1" applyAlignment="1" applyProtection="1">
      <alignment horizontal="justify" vertical="center" wrapText="1"/>
    </xf>
    <xf numFmtId="0" fontId="20" fillId="0" borderId="5" xfId="0" applyFont="1" applyBorder="1" applyAlignment="1" applyProtection="1">
      <alignment horizontal="center"/>
    </xf>
    <xf numFmtId="0" fontId="8" fillId="0" borderId="1" xfId="0" applyFont="1" applyBorder="1" applyAlignment="1" applyProtection="1">
      <alignment horizontal="justify" vertical="center" wrapText="1"/>
    </xf>
    <xf numFmtId="0" fontId="8" fillId="0" borderId="8" xfId="0" applyFont="1" applyBorder="1" applyAlignment="1" applyProtection="1">
      <alignment horizontal="justify" vertical="center" wrapText="1"/>
    </xf>
    <xf numFmtId="167" fontId="16" fillId="0" borderId="8" xfId="0" applyNumberFormat="1" applyFont="1" applyFill="1" applyBorder="1" applyAlignment="1" applyProtection="1">
      <alignment horizontal="center" vertical="center"/>
    </xf>
    <xf numFmtId="167" fontId="16" fillId="0" borderId="13" xfId="0" applyNumberFormat="1" applyFont="1" applyFill="1" applyBorder="1" applyAlignment="1" applyProtection="1">
      <alignment horizontal="center" vertical="center"/>
    </xf>
    <xf numFmtId="167" fontId="16" fillId="0" borderId="18" xfId="0" applyNumberFormat="1" applyFont="1" applyFill="1" applyBorder="1" applyAlignment="1" applyProtection="1">
      <alignment horizontal="center" vertical="center"/>
    </xf>
    <xf numFmtId="167" fontId="16" fillId="0" borderId="8" xfId="7" applyNumberFormat="1" applyFont="1" applyFill="1" applyBorder="1" applyAlignment="1" applyProtection="1">
      <alignment horizontal="center" vertical="center"/>
    </xf>
    <xf numFmtId="167" fontId="16" fillId="0" borderId="13" xfId="7" applyNumberFormat="1" applyFont="1" applyFill="1" applyBorder="1" applyAlignment="1" applyProtection="1">
      <alignment horizontal="center" vertical="center"/>
    </xf>
    <xf numFmtId="167" fontId="16" fillId="0" borderId="18" xfId="7" applyNumberFormat="1" applyFont="1" applyFill="1" applyBorder="1" applyAlignment="1" applyProtection="1">
      <alignment horizontal="center" vertical="center"/>
    </xf>
    <xf numFmtId="3" fontId="16" fillId="0" borderId="8" xfId="0" applyNumberFormat="1" applyFont="1" applyFill="1" applyBorder="1" applyAlignment="1" applyProtection="1">
      <alignment horizontal="center" vertical="center"/>
    </xf>
    <xf numFmtId="3" fontId="16" fillId="0" borderId="13" xfId="0" applyNumberFormat="1" applyFont="1" applyFill="1" applyBorder="1" applyAlignment="1" applyProtection="1">
      <alignment horizontal="center" vertical="center"/>
    </xf>
    <xf numFmtId="3" fontId="16" fillId="0" borderId="18" xfId="0" applyNumberFormat="1" applyFont="1" applyFill="1" applyBorder="1" applyAlignment="1" applyProtection="1">
      <alignment horizontal="center" vertical="center"/>
    </xf>
    <xf numFmtId="3" fontId="13" fillId="0" borderId="8" xfId="0" applyNumberFormat="1" applyFont="1" applyFill="1" applyBorder="1" applyAlignment="1" applyProtection="1">
      <alignment horizontal="center" vertical="center"/>
    </xf>
    <xf numFmtId="3" fontId="13" fillId="0" borderId="13" xfId="0" applyNumberFormat="1" applyFont="1" applyFill="1" applyBorder="1" applyAlignment="1" applyProtection="1">
      <alignment horizontal="center" vertical="center"/>
    </xf>
    <xf numFmtId="3" fontId="13" fillId="0" borderId="18" xfId="0" applyNumberFormat="1" applyFont="1" applyFill="1" applyBorder="1" applyAlignment="1" applyProtection="1">
      <alignment horizontal="center" vertical="center"/>
    </xf>
    <xf numFmtId="167" fontId="13" fillId="0" borderId="8" xfId="0" applyNumberFormat="1" applyFont="1" applyFill="1" applyBorder="1" applyAlignment="1" applyProtection="1">
      <alignment horizontal="center" vertical="center"/>
    </xf>
    <xf numFmtId="167" fontId="13" fillId="0" borderId="13" xfId="0" applyNumberFormat="1" applyFont="1" applyFill="1" applyBorder="1" applyAlignment="1" applyProtection="1">
      <alignment horizontal="center" vertical="center"/>
    </xf>
    <xf numFmtId="167" fontId="13" fillId="0" borderId="18" xfId="0" applyNumberFormat="1" applyFont="1" applyFill="1" applyBorder="1" applyAlignment="1" applyProtection="1">
      <alignment horizontal="center" vertical="center"/>
    </xf>
    <xf numFmtId="174" fontId="13" fillId="0" borderId="8" xfId="0" applyNumberFormat="1" applyFont="1" applyFill="1" applyBorder="1" applyAlignment="1" applyProtection="1">
      <alignment horizontal="center" vertical="center" wrapText="1"/>
    </xf>
    <xf numFmtId="174" fontId="13" fillId="0" borderId="13" xfId="0" applyNumberFormat="1" applyFont="1" applyFill="1" applyBorder="1" applyAlignment="1" applyProtection="1">
      <alignment horizontal="center" vertical="center" wrapText="1"/>
    </xf>
    <xf numFmtId="174" fontId="13" fillId="0" borderId="18" xfId="0" applyNumberFormat="1" applyFont="1" applyFill="1" applyBorder="1" applyAlignment="1" applyProtection="1">
      <alignment horizontal="center" vertical="center" wrapText="1"/>
    </xf>
    <xf numFmtId="3" fontId="13" fillId="0" borderId="8" xfId="0" applyNumberFormat="1" applyFont="1" applyFill="1" applyBorder="1" applyAlignment="1" applyProtection="1">
      <alignment horizontal="center" vertical="center" wrapText="1"/>
    </xf>
    <xf numFmtId="3" fontId="13" fillId="0" borderId="13" xfId="0" applyNumberFormat="1" applyFont="1" applyFill="1" applyBorder="1" applyAlignment="1" applyProtection="1">
      <alignment horizontal="center" vertical="center" wrapText="1"/>
    </xf>
    <xf numFmtId="3" fontId="13" fillId="0" borderId="18" xfId="0" applyNumberFormat="1" applyFont="1" applyFill="1" applyBorder="1" applyAlignment="1" applyProtection="1">
      <alignment horizontal="center" vertical="center" wrapText="1"/>
    </xf>
    <xf numFmtId="43" fontId="13" fillId="0" borderId="18" xfId="1" applyFont="1" applyFill="1" applyBorder="1" applyAlignment="1" applyProtection="1">
      <alignment horizontal="center" vertical="center" wrapText="1"/>
    </xf>
    <xf numFmtId="0" fontId="13" fillId="0" borderId="18" xfId="0" applyFont="1" applyFill="1" applyBorder="1" applyAlignment="1" applyProtection="1">
      <alignment horizontal="justify" vertical="center" wrapText="1" readingOrder="2"/>
    </xf>
    <xf numFmtId="0" fontId="18" fillId="0" borderId="8" xfId="0" applyFont="1" applyFill="1" applyBorder="1" applyAlignment="1" applyProtection="1">
      <alignment horizontal="justify" vertical="center" wrapText="1"/>
    </xf>
    <xf numFmtId="0" fontId="18" fillId="0" borderId="13" xfId="0" applyFont="1" applyFill="1" applyBorder="1" applyAlignment="1" applyProtection="1">
      <alignment horizontal="justify" vertical="center" wrapText="1"/>
    </xf>
    <xf numFmtId="0" fontId="18" fillId="0" borderId="18" xfId="0" applyFont="1" applyFill="1" applyBorder="1" applyAlignment="1" applyProtection="1">
      <alignment horizontal="justify" vertical="center" wrapText="1"/>
    </xf>
    <xf numFmtId="0" fontId="13" fillId="0" borderId="8"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13" fillId="0" borderId="1" xfId="0" applyFont="1" applyFill="1" applyBorder="1" applyAlignment="1" applyProtection="1">
      <alignment horizontal="justify" vertical="center" wrapText="1" readingOrder="2"/>
    </xf>
    <xf numFmtId="167" fontId="13" fillId="0" borderId="8" xfId="7" applyNumberFormat="1" applyFont="1" applyFill="1" applyBorder="1" applyAlignment="1" applyProtection="1">
      <alignment horizontal="center" vertical="center"/>
    </xf>
    <xf numFmtId="167" fontId="13" fillId="0" borderId="13" xfId="7" applyNumberFormat="1" applyFont="1" applyFill="1" applyBorder="1" applyAlignment="1" applyProtection="1">
      <alignment horizontal="center" vertical="center"/>
    </xf>
    <xf numFmtId="164" fontId="13" fillId="0" borderId="8" xfId="0" applyNumberFormat="1" applyFont="1" applyFill="1" applyBorder="1" applyAlignment="1" applyProtection="1">
      <alignment horizontal="center" vertical="center" wrapText="1"/>
    </xf>
    <xf numFmtId="164" fontId="13" fillId="0" borderId="13" xfId="0" applyNumberFormat="1" applyFont="1" applyFill="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1" fontId="35" fillId="0" borderId="1" xfId="0" applyNumberFormat="1" applyFont="1" applyBorder="1" applyAlignment="1" applyProtection="1">
      <alignment horizontal="center" vertical="center" wrapText="1"/>
    </xf>
    <xf numFmtId="0" fontId="35" fillId="7" borderId="6" xfId="0" applyFont="1" applyFill="1" applyBorder="1" applyAlignment="1" applyProtection="1">
      <alignment horizontal="center" vertical="center" wrapText="1"/>
    </xf>
    <xf numFmtId="0" fontId="35" fillId="7" borderId="11" xfId="0" applyFont="1" applyFill="1" applyBorder="1" applyAlignment="1" applyProtection="1">
      <alignment horizontal="center" vertical="center" wrapText="1"/>
    </xf>
    <xf numFmtId="0" fontId="16" fillId="0" borderId="8" xfId="0" applyFont="1" applyBorder="1" applyAlignment="1" applyProtection="1">
      <alignment horizontal="left" vertical="center" wrapText="1"/>
    </xf>
    <xf numFmtId="0" fontId="16" fillId="0" borderId="13" xfId="0" applyFont="1" applyBorder="1" applyAlignment="1" applyProtection="1">
      <alignment horizontal="left" vertical="center" wrapText="1"/>
    </xf>
    <xf numFmtId="0" fontId="13" fillId="0" borderId="1"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4" xfId="0" applyFont="1" applyBorder="1" applyAlignment="1" applyProtection="1">
      <alignment horizontal="center" vertical="center"/>
    </xf>
    <xf numFmtId="176" fontId="13" fillId="0" borderId="11" xfId="0" applyNumberFormat="1" applyFont="1" applyBorder="1" applyAlignment="1" applyProtection="1">
      <alignment horizontal="center" vertical="center" wrapText="1"/>
    </xf>
    <xf numFmtId="174" fontId="13" fillId="0" borderId="8" xfId="4" applyNumberFormat="1" applyFont="1" applyBorder="1" applyAlignment="1" applyProtection="1">
      <alignment horizontal="center" vertical="center"/>
    </xf>
    <xf numFmtId="174" fontId="13" fillId="0" borderId="13" xfId="4" applyNumberFormat="1" applyFont="1" applyBorder="1" applyAlignment="1" applyProtection="1">
      <alignment horizontal="center" vertical="center"/>
    </xf>
    <xf numFmtId="43" fontId="13" fillId="0" borderId="8" xfId="1" applyFont="1" applyBorder="1" applyAlignment="1" applyProtection="1">
      <alignment horizontal="center" vertical="center"/>
    </xf>
    <xf numFmtId="43" fontId="13" fillId="0" borderId="13" xfId="1" applyFont="1" applyBorder="1" applyAlignment="1" applyProtection="1">
      <alignment horizontal="center" vertical="center"/>
    </xf>
    <xf numFmtId="174" fontId="13" fillId="0" borderId="14" xfId="4" applyNumberFormat="1" applyFont="1" applyBorder="1" applyAlignment="1" applyProtection="1">
      <alignment horizontal="center" vertical="center"/>
    </xf>
    <xf numFmtId="0" fontId="35" fillId="0" borderId="7" xfId="0" applyFont="1" applyBorder="1" applyAlignment="1" applyProtection="1">
      <alignment horizontal="left" vertical="center" wrapText="1"/>
    </xf>
    <xf numFmtId="0" fontId="35" fillId="0" borderId="4" xfId="0" applyFont="1" applyBorder="1" applyAlignment="1" applyProtection="1">
      <alignment horizontal="left" vertical="center" wrapText="1"/>
    </xf>
    <xf numFmtId="0" fontId="13" fillId="0" borderId="37" xfId="0" applyFont="1" applyBorder="1" applyAlignment="1" applyProtection="1">
      <alignment horizontal="center" vertical="center" wrapText="1"/>
    </xf>
    <xf numFmtId="0" fontId="13" fillId="0" borderId="48" xfId="0" applyFont="1" applyBorder="1" applyAlignment="1" applyProtection="1">
      <alignment horizontal="center" vertical="center" wrapText="1"/>
    </xf>
    <xf numFmtId="0" fontId="13" fillId="0" borderId="50" xfId="0" applyFont="1" applyBorder="1" applyAlignment="1" applyProtection="1">
      <alignment horizontal="center" vertical="center" wrapText="1"/>
    </xf>
    <xf numFmtId="0" fontId="35" fillId="0" borderId="49" xfId="0" applyFont="1" applyBorder="1" applyAlignment="1" applyProtection="1">
      <alignment horizontal="center" vertical="center" wrapText="1"/>
    </xf>
    <xf numFmtId="0" fontId="35" fillId="0" borderId="47" xfId="0" applyFont="1" applyBorder="1" applyAlignment="1" applyProtection="1">
      <alignment horizontal="center" vertical="center" wrapText="1"/>
    </xf>
    <xf numFmtId="0" fontId="16" fillId="0" borderId="14" xfId="0" applyFont="1" applyBorder="1" applyAlignment="1" applyProtection="1">
      <alignment horizontal="left" vertical="center" wrapText="1"/>
    </xf>
    <xf numFmtId="0" fontId="13" fillId="0" borderId="13" xfId="0" applyFont="1" applyBorder="1" applyAlignment="1" applyProtection="1">
      <alignment horizontal="center"/>
    </xf>
    <xf numFmtId="0" fontId="13" fillId="0" borderId="14" xfId="0" applyFont="1" applyBorder="1" applyAlignment="1" applyProtection="1">
      <alignment horizontal="center"/>
    </xf>
    <xf numFmtId="14" fontId="13" fillId="0" borderId="13" xfId="0" applyNumberFormat="1" applyFont="1" applyBorder="1" applyAlignment="1" applyProtection="1">
      <alignment horizontal="center" vertical="center"/>
    </xf>
    <xf numFmtId="0" fontId="13" fillId="0" borderId="8" xfId="0" applyFont="1" applyBorder="1" applyAlignment="1" applyProtection="1">
      <alignment horizontal="center"/>
    </xf>
    <xf numFmtId="0" fontId="13" fillId="0" borderId="5" xfId="0" applyFont="1" applyBorder="1" applyAlignment="1" applyProtection="1">
      <alignment horizontal="center" vertical="center"/>
    </xf>
    <xf numFmtId="0" fontId="7" fillId="8" borderId="30" xfId="0" applyFont="1" applyFill="1" applyBorder="1" applyAlignment="1">
      <alignment horizontal="center" vertical="center" wrapText="1"/>
    </xf>
    <xf numFmtId="0" fontId="7" fillId="0" borderId="43"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29"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17" xfId="0" applyFont="1" applyBorder="1" applyAlignment="1">
      <alignment horizontal="center" vertical="center"/>
    </xf>
    <xf numFmtId="0" fontId="7" fillId="0" borderId="9" xfId="0" applyFont="1" applyBorder="1" applyAlignment="1">
      <alignment horizontal="center" vertical="center"/>
    </xf>
    <xf numFmtId="0" fontId="7" fillId="0" borderId="15" xfId="0" applyFont="1" applyBorder="1" applyAlignment="1">
      <alignment horizontal="center" vertical="center"/>
    </xf>
    <xf numFmtId="0" fontId="7" fillId="8" borderId="6"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13" xfId="0" applyFont="1" applyFill="1" applyBorder="1" applyAlignment="1">
      <alignment horizontal="center" vertical="center" wrapText="1"/>
    </xf>
    <xf numFmtId="3" fontId="7" fillId="8" borderId="17" xfId="0" applyNumberFormat="1" applyFont="1" applyFill="1" applyBorder="1" applyAlignment="1">
      <alignment horizontal="center" vertical="center" wrapText="1"/>
    </xf>
    <xf numFmtId="0" fontId="7" fillId="8" borderId="14" xfId="0" applyFont="1" applyFill="1" applyBorder="1" applyAlignment="1">
      <alignment horizontal="center" vertical="center" wrapText="1"/>
    </xf>
    <xf numFmtId="164" fontId="7" fillId="8" borderId="7" xfId="0" applyNumberFormat="1" applyFont="1" applyFill="1" applyBorder="1" applyAlignment="1">
      <alignment horizontal="center" vertical="center" wrapText="1"/>
    </xf>
    <xf numFmtId="164" fontId="7" fillId="8" borderId="4" xfId="0" applyNumberFormat="1" applyFont="1" applyFill="1" applyBorder="1" applyAlignment="1">
      <alignment horizontal="center" vertical="center" wrapText="1"/>
    </xf>
    <xf numFmtId="0" fontId="8" fillId="7" borderId="30" xfId="0" applyFont="1" applyFill="1" applyBorder="1" applyAlignment="1">
      <alignment horizontal="center" vertical="center" wrapText="1"/>
    </xf>
    <xf numFmtId="0" fontId="8" fillId="7" borderId="32" xfId="0" applyFont="1" applyFill="1" applyBorder="1" applyAlignment="1">
      <alignment horizontal="center" vertical="center" wrapText="1"/>
    </xf>
    <xf numFmtId="1" fontId="7" fillId="11" borderId="1" xfId="0" applyNumberFormat="1" applyFont="1" applyFill="1" applyBorder="1" applyAlignment="1">
      <alignment horizontal="left" vertical="center"/>
    </xf>
    <xf numFmtId="0" fontId="7" fillId="12" borderId="15" xfId="0" applyFont="1" applyFill="1" applyBorder="1" applyAlignment="1">
      <alignment horizontal="left" vertical="center"/>
    </xf>
    <xf numFmtId="0" fontId="7" fillId="12" borderId="1" xfId="0" applyFont="1" applyFill="1" applyBorder="1" applyAlignment="1">
      <alignment horizontal="left" vertical="center"/>
    </xf>
    <xf numFmtId="0" fontId="8" fillId="7" borderId="6" xfId="0" applyFont="1" applyFill="1" applyBorder="1" applyAlignment="1">
      <alignment horizontal="justify" vertical="center" wrapText="1"/>
    </xf>
    <xf numFmtId="0" fontId="8" fillId="7" borderId="11" xfId="0" applyFont="1" applyFill="1" applyBorder="1" applyAlignment="1">
      <alignment horizontal="justify" vertical="center" wrapText="1"/>
    </xf>
    <xf numFmtId="3" fontId="8" fillId="7" borderId="8" xfId="0" applyNumberFormat="1" applyFont="1" applyFill="1" applyBorder="1" applyAlignment="1">
      <alignment horizontal="center" vertical="center" wrapText="1"/>
    </xf>
    <xf numFmtId="3" fontId="8" fillId="7" borderId="13" xfId="0" applyNumberFormat="1" applyFont="1" applyFill="1" applyBorder="1" applyAlignment="1">
      <alignment horizontal="center" vertical="center" wrapText="1"/>
    </xf>
    <xf numFmtId="3" fontId="8" fillId="7" borderId="14" xfId="0" applyNumberFormat="1" applyFont="1" applyFill="1" applyBorder="1" applyAlignment="1">
      <alignment horizontal="center" vertical="center" wrapText="1"/>
    </xf>
    <xf numFmtId="9" fontId="8" fillId="7" borderId="8" xfId="8" applyNumberFormat="1" applyFont="1" applyFill="1" applyBorder="1" applyAlignment="1">
      <alignment horizontal="center" vertical="center" wrapText="1"/>
    </xf>
    <xf numFmtId="41" fontId="8" fillId="7" borderId="13" xfId="8" applyFont="1" applyFill="1" applyBorder="1" applyAlignment="1">
      <alignment horizontal="center" vertical="center" wrapText="1"/>
    </xf>
    <xf numFmtId="3" fontId="8" fillId="7" borderId="18" xfId="0" applyNumberFormat="1" applyFont="1" applyFill="1" applyBorder="1" applyAlignment="1">
      <alignment horizontal="center" vertical="center" wrapText="1"/>
    </xf>
    <xf numFmtId="166" fontId="8" fillId="7" borderId="8" xfId="0" applyNumberFormat="1" applyFont="1" applyFill="1" applyBorder="1" applyAlignment="1">
      <alignment horizontal="center" vertical="center" wrapText="1"/>
    </xf>
    <xf numFmtId="166" fontId="8" fillId="7" borderId="13" xfId="0" applyNumberFormat="1" applyFont="1" applyFill="1" applyBorder="1" applyAlignment="1">
      <alignment horizontal="center" vertical="center" wrapText="1"/>
    </xf>
    <xf numFmtId="1" fontId="8" fillId="7" borderId="8" xfId="0" applyNumberFormat="1" applyFont="1" applyFill="1" applyBorder="1" applyAlignment="1">
      <alignment horizontal="center" vertical="center" wrapText="1"/>
    </xf>
    <xf numFmtId="1" fontId="8" fillId="7" borderId="18" xfId="0" applyNumberFormat="1" applyFont="1" applyFill="1" applyBorder="1" applyAlignment="1">
      <alignment horizontal="center" vertical="center" wrapText="1"/>
    </xf>
    <xf numFmtId="3" fontId="8" fillId="7" borderId="16" xfId="0" applyNumberFormat="1" applyFont="1" applyFill="1" applyBorder="1" applyAlignment="1">
      <alignment horizontal="justify" vertical="center" wrapText="1"/>
    </xf>
    <xf numFmtId="3" fontId="8" fillId="7" borderId="34" xfId="0" applyNumberFormat="1" applyFont="1" applyFill="1" applyBorder="1" applyAlignment="1">
      <alignment horizontal="justify" vertical="center" wrapText="1"/>
    </xf>
    <xf numFmtId="1" fontId="8" fillId="7" borderId="14" xfId="0" applyNumberFormat="1" applyFont="1" applyFill="1" applyBorder="1" applyAlignment="1">
      <alignment horizontal="center" vertical="center" wrapText="1"/>
    </xf>
    <xf numFmtId="0" fontId="55" fillId="8" borderId="7" xfId="0" applyFont="1" applyFill="1" applyBorder="1" applyAlignment="1">
      <alignment horizontal="center" vertical="center" wrapText="1"/>
    </xf>
    <xf numFmtId="0" fontId="55" fillId="8" borderId="4" xfId="0" applyFont="1" applyFill="1" applyBorder="1" applyAlignment="1">
      <alignment horizontal="center" vertical="center" wrapText="1"/>
    </xf>
    <xf numFmtId="0" fontId="36" fillId="8" borderId="8" xfId="0" applyFont="1" applyFill="1" applyBorder="1" applyAlignment="1">
      <alignment horizontal="center" vertical="center" wrapText="1"/>
    </xf>
    <xf numFmtId="0" fontId="36" fillId="8" borderId="13" xfId="0" applyFont="1" applyFill="1" applyBorder="1" applyAlignment="1">
      <alignment horizontal="center" vertical="center" wrapText="1"/>
    </xf>
    <xf numFmtId="0" fontId="30" fillId="0" borderId="6" xfId="0" applyFont="1" applyBorder="1" applyAlignment="1">
      <alignment horizontal="center" vertical="center"/>
    </xf>
    <xf numFmtId="0" fontId="30" fillId="0" borderId="51" xfId="0" applyFont="1" applyBorder="1" applyAlignment="1">
      <alignment horizontal="center" vertical="center"/>
    </xf>
    <xf numFmtId="0" fontId="30" fillId="0" borderId="12" xfId="0" applyFont="1" applyBorder="1" applyAlignment="1">
      <alignment horizontal="center" vertical="center"/>
    </xf>
    <xf numFmtId="0" fontId="30" fillId="0" borderId="0" xfId="0" applyFont="1" applyAlignment="1">
      <alignment horizontal="center" vertical="center"/>
    </xf>
    <xf numFmtId="0" fontId="30" fillId="0" borderId="44" xfId="0" applyFont="1" applyBorder="1" applyAlignment="1">
      <alignment horizontal="center" vertical="center"/>
    </xf>
    <xf numFmtId="0" fontId="27" fillId="9" borderId="7" xfId="0" applyFont="1" applyFill="1" applyBorder="1" applyAlignment="1">
      <alignment horizontal="center" vertical="center" textRotation="90" wrapText="1"/>
    </xf>
    <xf numFmtId="0" fontId="27" fillId="9" borderId="4" xfId="0" applyFont="1" applyFill="1" applyBorder="1" applyAlignment="1">
      <alignment horizontal="center" vertical="center" textRotation="90" wrapText="1"/>
    </xf>
    <xf numFmtId="164" fontId="55" fillId="8" borderId="7" xfId="0" applyNumberFormat="1" applyFont="1" applyFill="1" applyBorder="1" applyAlignment="1">
      <alignment horizontal="center" vertical="center" wrapText="1"/>
    </xf>
    <xf numFmtId="164" fontId="55" fillId="8" borderId="4" xfId="0" applyNumberFormat="1" applyFont="1" applyFill="1" applyBorder="1" applyAlignment="1">
      <alignment horizontal="center" vertical="center" wrapText="1"/>
    </xf>
    <xf numFmtId="3" fontId="12" fillId="8" borderId="1" xfId="0" applyNumberFormat="1" applyFont="1" applyFill="1" applyBorder="1" applyAlignment="1">
      <alignment horizontal="center" vertical="center" wrapText="1"/>
    </xf>
    <xf numFmtId="0" fontId="20" fillId="0" borderId="8" xfId="26" applyFont="1" applyFill="1" applyBorder="1" applyAlignment="1">
      <alignment horizontal="center" vertical="center" wrapText="1"/>
    </xf>
    <xf numFmtId="0" fontId="20" fillId="0" borderId="13" xfId="26" applyFont="1" applyFill="1" applyBorder="1" applyAlignment="1">
      <alignment horizontal="center" vertical="center" wrapText="1"/>
    </xf>
    <xf numFmtId="0" fontId="20" fillId="0" borderId="14" xfId="26" applyFont="1" applyFill="1" applyBorder="1" applyAlignment="1">
      <alignment horizontal="center" vertical="center" wrapText="1"/>
    </xf>
    <xf numFmtId="0" fontId="20" fillId="7" borderId="8" xfId="26" applyFont="1" applyFill="1" applyBorder="1" applyAlignment="1">
      <alignment horizontal="justify" vertical="center" wrapText="1"/>
    </xf>
    <xf numFmtId="0" fontId="20" fillId="7" borderId="13" xfId="26" applyFont="1" applyFill="1" applyBorder="1" applyAlignment="1">
      <alignment horizontal="justify" vertical="center" wrapText="1"/>
    </xf>
    <xf numFmtId="0" fontId="20" fillId="7" borderId="14" xfId="26" applyFont="1" applyFill="1" applyBorder="1" applyAlignment="1">
      <alignment horizontal="justify" vertical="center" wrapText="1"/>
    </xf>
    <xf numFmtId="0" fontId="20" fillId="7" borderId="8" xfId="26" applyFont="1" applyFill="1" applyBorder="1" applyAlignment="1">
      <alignment horizontal="center" vertical="center" wrapText="1"/>
    </xf>
    <xf numFmtId="0" fontId="20" fillId="7" borderId="13" xfId="26" applyFont="1" applyFill="1" applyBorder="1" applyAlignment="1">
      <alignment horizontal="center" vertical="center" wrapText="1"/>
    </xf>
    <xf numFmtId="0" fontId="20" fillId="7" borderId="14" xfId="26" applyFont="1" applyFill="1" applyBorder="1" applyAlignment="1">
      <alignment horizontal="center" vertical="center" wrapText="1"/>
    </xf>
    <xf numFmtId="3" fontId="27" fillId="9" borderId="9" xfId="0" applyNumberFormat="1" applyFont="1" applyFill="1" applyBorder="1" applyAlignment="1">
      <alignment horizontal="center" vertical="center" wrapText="1"/>
    </xf>
    <xf numFmtId="0" fontId="55" fillId="8" borderId="12" xfId="0" applyFont="1" applyFill="1" applyBorder="1" applyAlignment="1">
      <alignment horizontal="center" vertical="center" wrapText="1"/>
    </xf>
    <xf numFmtId="0" fontId="13" fillId="7" borderId="8" xfId="26" applyFont="1" applyFill="1" applyBorder="1" applyAlignment="1">
      <alignment horizontal="center" vertical="center" wrapText="1"/>
    </xf>
    <xf numFmtId="0" fontId="13" fillId="7" borderId="13" xfId="26" applyFont="1" applyFill="1" applyBorder="1" applyAlignment="1">
      <alignment horizontal="center" vertical="center" wrapText="1"/>
    </xf>
    <xf numFmtId="0" fontId="13" fillId="7" borderId="14" xfId="26" applyFont="1" applyFill="1" applyBorder="1" applyAlignment="1">
      <alignment horizontal="center" vertical="center" wrapText="1"/>
    </xf>
    <xf numFmtId="0" fontId="16" fillId="7" borderId="8" xfId="26" applyFont="1" applyFill="1" applyBorder="1" applyAlignment="1">
      <alignment horizontal="center" vertical="center" wrapText="1"/>
    </xf>
    <xf numFmtId="0" fontId="16" fillId="7" borderId="13" xfId="26" applyFont="1" applyFill="1" applyBorder="1" applyAlignment="1">
      <alignment horizontal="center" vertical="center" wrapText="1"/>
    </xf>
    <xf numFmtId="0" fontId="16" fillId="7" borderId="14" xfId="26" applyFont="1" applyFill="1" applyBorder="1" applyAlignment="1">
      <alignment horizontal="center" vertical="center" wrapText="1"/>
    </xf>
    <xf numFmtId="9" fontId="33" fillId="28" borderId="8" xfId="11" applyFont="1" applyFill="1" applyBorder="1" applyAlignment="1">
      <alignment horizontal="center" vertical="center" wrapText="1"/>
    </xf>
    <xf numFmtId="9" fontId="33" fillId="28" borderId="13" xfId="11" applyFont="1" applyFill="1" applyBorder="1" applyAlignment="1">
      <alignment horizontal="center" vertical="center" wrapText="1"/>
    </xf>
    <xf numFmtId="9" fontId="33" fillId="28" borderId="14" xfId="11" applyFont="1" applyFill="1" applyBorder="1" applyAlignment="1">
      <alignment horizontal="center" vertical="center" wrapText="1"/>
    </xf>
    <xf numFmtId="43" fontId="33" fillId="28" borderId="8" xfId="9" applyFont="1" applyFill="1" applyBorder="1" applyAlignment="1">
      <alignment horizontal="center" vertical="center" wrapText="1"/>
    </xf>
    <xf numFmtId="43" fontId="33" fillId="28" borderId="13" xfId="9" applyFont="1" applyFill="1" applyBorder="1" applyAlignment="1">
      <alignment horizontal="center" vertical="center" wrapText="1"/>
    </xf>
    <xf numFmtId="43" fontId="33" fillId="28" borderId="14" xfId="9" applyFont="1" applyFill="1" applyBorder="1" applyAlignment="1">
      <alignment horizontal="center" vertical="center" wrapText="1"/>
    </xf>
    <xf numFmtId="0" fontId="33" fillId="28" borderId="8" xfId="26" applyFont="1" applyFill="1" applyBorder="1" applyAlignment="1">
      <alignment horizontal="justify" vertical="center" wrapText="1"/>
    </xf>
    <xf numFmtId="0" fontId="33" fillId="28" borderId="13" xfId="26" applyFont="1" applyFill="1" applyBorder="1" applyAlignment="1">
      <alignment horizontal="justify" vertical="center" wrapText="1"/>
    </xf>
    <xf numFmtId="0" fontId="33" fillId="28" borderId="14" xfId="26" applyFont="1" applyFill="1" applyBorder="1" applyAlignment="1">
      <alignment horizontal="justify" vertical="center" wrapText="1"/>
    </xf>
    <xf numFmtId="164" fontId="13" fillId="7" borderId="8" xfId="26" applyNumberFormat="1" applyFont="1" applyFill="1" applyBorder="1" applyAlignment="1">
      <alignment horizontal="center" vertical="center" wrapText="1"/>
    </xf>
    <xf numFmtId="164" fontId="13" fillId="7" borderId="13" xfId="26" applyNumberFormat="1" applyFont="1" applyFill="1" applyBorder="1" applyAlignment="1">
      <alignment horizontal="center" vertical="center" wrapText="1"/>
    </xf>
    <xf numFmtId="164" fontId="13" fillId="7" borderId="14" xfId="26" applyNumberFormat="1" applyFont="1" applyFill="1" applyBorder="1" applyAlignment="1">
      <alignment horizontal="center" vertical="center" wrapText="1"/>
    </xf>
    <xf numFmtId="3" fontId="13" fillId="7" borderId="8" xfId="26" applyNumberFormat="1" applyFont="1" applyFill="1" applyBorder="1" applyAlignment="1">
      <alignment horizontal="center" vertical="center" wrapText="1"/>
    </xf>
    <xf numFmtId="3" fontId="13" fillId="7" borderId="13" xfId="26" applyNumberFormat="1" applyFont="1" applyFill="1" applyBorder="1" applyAlignment="1">
      <alignment horizontal="center" vertical="center" wrapText="1"/>
    </xf>
    <xf numFmtId="3" fontId="13" fillId="7" borderId="14" xfId="26" applyNumberFormat="1" applyFont="1" applyFill="1" applyBorder="1" applyAlignment="1">
      <alignment horizontal="center" vertical="center" wrapText="1"/>
    </xf>
    <xf numFmtId="0" fontId="20" fillId="0" borderId="1" xfId="26" applyFont="1" applyFill="1" applyBorder="1" applyAlignment="1">
      <alignment horizontal="center" vertical="center" wrapText="1"/>
    </xf>
    <xf numFmtId="0" fontId="13" fillId="7" borderId="8" xfId="9" applyNumberFormat="1" applyFont="1" applyFill="1" applyBorder="1" applyAlignment="1">
      <alignment horizontal="center" vertical="center" wrapText="1"/>
    </xf>
    <xf numFmtId="0" fontId="13" fillId="7" borderId="13" xfId="9" applyNumberFormat="1" applyFont="1" applyFill="1" applyBorder="1" applyAlignment="1">
      <alignment horizontal="center" vertical="center" wrapText="1"/>
    </xf>
    <xf numFmtId="0" fontId="13" fillId="7" borderId="14" xfId="9" applyNumberFormat="1" applyFont="1" applyFill="1" applyBorder="1" applyAlignment="1">
      <alignment horizontal="center" vertical="center" wrapText="1"/>
    </xf>
    <xf numFmtId="0" fontId="16" fillId="0" borderId="8"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9" fontId="20" fillId="7" borderId="8" xfId="11" applyFont="1" applyFill="1" applyBorder="1" applyAlignment="1">
      <alignment horizontal="center" vertical="center" wrapText="1"/>
    </xf>
    <xf numFmtId="9" fontId="20" fillId="7" borderId="13" xfId="11" applyFont="1" applyFill="1" applyBorder="1" applyAlignment="1">
      <alignment horizontal="center" vertical="center" wrapText="1"/>
    </xf>
    <xf numFmtId="9" fontId="20" fillId="7" borderId="14" xfId="11" applyFont="1" applyFill="1" applyBorder="1" applyAlignment="1">
      <alignment horizontal="center" vertical="center" wrapText="1"/>
    </xf>
    <xf numFmtId="43" fontId="20" fillId="7" borderId="8" xfId="9" applyFont="1" applyFill="1" applyBorder="1" applyAlignment="1">
      <alignment horizontal="center" vertical="center" wrapText="1"/>
    </xf>
    <xf numFmtId="43" fontId="20" fillId="7" borderId="13" xfId="9" applyFont="1" applyFill="1" applyBorder="1" applyAlignment="1">
      <alignment horizontal="center" vertical="center" wrapText="1"/>
    </xf>
    <xf numFmtId="43" fontId="20" fillId="7" borderId="14" xfId="9" applyFont="1" applyFill="1" applyBorder="1" applyAlignment="1">
      <alignment horizontal="center" vertical="center" wrapText="1"/>
    </xf>
    <xf numFmtId="9" fontId="20" fillId="7" borderId="8" xfId="4" applyFont="1" applyFill="1" applyBorder="1" applyAlignment="1">
      <alignment horizontal="center" vertical="center" wrapText="1"/>
    </xf>
    <xf numFmtId="9" fontId="20" fillId="7" borderId="13" xfId="4" applyFont="1" applyFill="1" applyBorder="1" applyAlignment="1">
      <alignment horizontal="center" vertical="center" wrapText="1"/>
    </xf>
    <xf numFmtId="9" fontId="20" fillId="7" borderId="14" xfId="4" applyFont="1" applyFill="1" applyBorder="1" applyAlignment="1">
      <alignment horizontal="center" vertical="center" wrapText="1"/>
    </xf>
    <xf numFmtId="0" fontId="8" fillId="0" borderId="8" xfId="26" applyFont="1" applyFill="1" applyBorder="1" applyAlignment="1">
      <alignment horizontal="center" vertical="center" wrapText="1"/>
    </xf>
    <xf numFmtId="0" fontId="8" fillId="0" borderId="13" xfId="26" applyFont="1" applyFill="1" applyBorder="1" applyAlignment="1">
      <alignment horizontal="center" vertical="center" wrapText="1"/>
    </xf>
    <xf numFmtId="0" fontId="8" fillId="0" borderId="14" xfId="26" applyFont="1" applyFill="1" applyBorder="1" applyAlignment="1">
      <alignment horizontal="center" vertical="center" wrapText="1"/>
    </xf>
    <xf numFmtId="0" fontId="8" fillId="7" borderId="8" xfId="26" applyFont="1" applyFill="1" applyBorder="1" applyAlignment="1">
      <alignment horizontal="center" vertical="center" wrapText="1"/>
    </xf>
    <xf numFmtId="0" fontId="8" fillId="7" borderId="13" xfId="26" applyFont="1" applyFill="1" applyBorder="1" applyAlignment="1">
      <alignment horizontal="center" vertical="center" wrapText="1"/>
    </xf>
    <xf numFmtId="0" fontId="8" fillId="7" borderId="14" xfId="26" applyFont="1" applyFill="1" applyBorder="1" applyAlignment="1">
      <alignment horizontal="center" vertical="center" wrapText="1"/>
    </xf>
    <xf numFmtId="0" fontId="18" fillId="28" borderId="8" xfId="26" applyFont="1" applyFill="1" applyBorder="1" applyAlignment="1">
      <alignment horizontal="center" vertical="center" wrapText="1"/>
    </xf>
    <xf numFmtId="0" fontId="18" fillId="28" borderId="13" xfId="26" applyFont="1" applyFill="1" applyBorder="1" applyAlignment="1">
      <alignment horizontal="center" vertical="center" wrapText="1"/>
    </xf>
    <xf numFmtId="0" fontId="18" fillId="28" borderId="14" xfId="26" applyFont="1" applyFill="1" applyBorder="1" applyAlignment="1">
      <alignment horizontal="center" vertical="center" wrapText="1"/>
    </xf>
    <xf numFmtId="0" fontId="8" fillId="7" borderId="13" xfId="26" applyFont="1" applyFill="1" applyBorder="1" applyAlignment="1">
      <alignment horizontal="justify" vertical="center" wrapText="1"/>
    </xf>
    <xf numFmtId="0" fontId="8" fillId="7" borderId="14" xfId="26" applyFont="1" applyFill="1" applyBorder="1" applyAlignment="1">
      <alignment horizontal="justify" vertical="center" wrapText="1"/>
    </xf>
    <xf numFmtId="9" fontId="8" fillId="28" borderId="8" xfId="11" applyFont="1" applyFill="1" applyBorder="1" applyAlignment="1">
      <alignment horizontal="center" vertical="center" wrapText="1"/>
    </xf>
    <xf numFmtId="9" fontId="8" fillId="28" borderId="13" xfId="11" applyFont="1" applyFill="1" applyBorder="1" applyAlignment="1">
      <alignment horizontal="center" vertical="center" wrapText="1"/>
    </xf>
    <xf numFmtId="9" fontId="8" fillId="28" borderId="14" xfId="11" applyFont="1" applyFill="1" applyBorder="1" applyAlignment="1">
      <alignment horizontal="center" vertical="center" wrapText="1"/>
    </xf>
    <xf numFmtId="0" fontId="8" fillId="7" borderId="8" xfId="26" applyFont="1" applyFill="1" applyBorder="1" applyAlignment="1">
      <alignment horizontal="justify" vertical="center" wrapText="1"/>
    </xf>
    <xf numFmtId="0" fontId="16" fillId="0" borderId="1" xfId="0" applyFont="1" applyBorder="1" applyAlignment="1">
      <alignment horizontal="center" vertical="center"/>
    </xf>
    <xf numFmtId="0" fontId="8" fillId="0" borderId="6" xfId="26" applyFont="1" applyFill="1" applyBorder="1" applyAlignment="1">
      <alignment horizontal="center" vertical="center" wrapText="1"/>
    </xf>
    <xf numFmtId="0" fontId="8" fillId="0" borderId="11" xfId="26" applyFont="1" applyFill="1" applyBorder="1" applyAlignment="1">
      <alignment horizontal="center" vertical="center" wrapText="1"/>
    </xf>
    <xf numFmtId="0" fontId="8" fillId="0" borderId="5" xfId="26" applyFont="1" applyFill="1" applyBorder="1" applyAlignment="1">
      <alignment horizontal="center" vertical="center" wrapText="1"/>
    </xf>
    <xf numFmtId="164" fontId="16" fillId="7" borderId="8" xfId="26" applyNumberFormat="1" applyFont="1" applyFill="1" applyBorder="1" applyAlignment="1">
      <alignment horizontal="center" vertical="center" wrapText="1"/>
    </xf>
    <xf numFmtId="164" fontId="16" fillId="7" borderId="13" xfId="26" applyNumberFormat="1" applyFont="1" applyFill="1" applyBorder="1" applyAlignment="1">
      <alignment horizontal="center" vertical="center" wrapText="1"/>
    </xf>
    <xf numFmtId="165" fontId="16" fillId="0" borderId="8" xfId="0" applyNumberFormat="1" applyFont="1" applyBorder="1" applyAlignment="1">
      <alignment horizontal="center" vertical="center" wrapText="1"/>
    </xf>
    <xf numFmtId="165" fontId="16" fillId="0" borderId="13" xfId="0" applyNumberFormat="1" applyFont="1" applyBorder="1" applyAlignment="1">
      <alignment horizontal="center" vertical="center" wrapText="1"/>
    </xf>
    <xf numFmtId="165" fontId="16" fillId="0" borderId="14" xfId="0" applyNumberFormat="1" applyFont="1" applyBorder="1" applyAlignment="1">
      <alignment horizontal="center" vertical="center" wrapText="1"/>
    </xf>
    <xf numFmtId="0" fontId="16" fillId="28" borderId="8" xfId="26" applyFont="1" applyFill="1" applyBorder="1" applyAlignment="1">
      <alignment horizontal="center" vertical="center" wrapText="1"/>
    </xf>
    <xf numFmtId="0" fontId="16" fillId="28" borderId="13" xfId="26" applyFont="1" applyFill="1" applyBorder="1" applyAlignment="1">
      <alignment horizontal="center" vertical="center" wrapText="1"/>
    </xf>
    <xf numFmtId="0" fontId="16" fillId="28" borderId="14" xfId="26" applyFont="1" applyFill="1" applyBorder="1" applyAlignment="1">
      <alignment horizontal="center" vertical="center" wrapText="1"/>
    </xf>
    <xf numFmtId="0" fontId="20" fillId="7" borderId="1" xfId="26" applyFont="1" applyFill="1" applyBorder="1" applyAlignment="1">
      <alignment horizontal="justify" vertical="center" wrapText="1"/>
    </xf>
    <xf numFmtId="0" fontId="13" fillId="0" borderId="8" xfId="9" applyNumberFormat="1" applyFont="1" applyBorder="1" applyAlignment="1">
      <alignment horizontal="center" vertical="center" wrapText="1"/>
    </xf>
    <xf numFmtId="0" fontId="13" fillId="0" borderId="13" xfId="9" applyNumberFormat="1" applyFont="1" applyBorder="1" applyAlignment="1">
      <alignment horizontal="center" vertical="center" wrapText="1"/>
    </xf>
    <xf numFmtId="0" fontId="13" fillId="0" borderId="14" xfId="9" applyNumberFormat="1" applyFont="1" applyBorder="1" applyAlignment="1">
      <alignment horizontal="center" vertical="center" wrapText="1"/>
    </xf>
    <xf numFmtId="9" fontId="8" fillId="28" borderId="1" xfId="11" applyFont="1" applyFill="1" applyBorder="1" applyAlignment="1">
      <alignment horizontal="center" vertical="center" wrapText="1"/>
    </xf>
    <xf numFmtId="0" fontId="8" fillId="0" borderId="8" xfId="26" applyFont="1" applyFill="1" applyBorder="1" applyAlignment="1">
      <alignment horizontal="justify" vertical="center" wrapText="1"/>
    </xf>
    <xf numFmtId="0" fontId="8" fillId="0" borderId="13" xfId="26" applyFont="1" applyFill="1" applyBorder="1" applyAlignment="1">
      <alignment horizontal="justify" vertical="center" wrapText="1"/>
    </xf>
    <xf numFmtId="0" fontId="8" fillId="0" borderId="14" xfId="26" applyFont="1" applyFill="1" applyBorder="1" applyAlignment="1">
      <alignment horizontal="justify" vertical="center" wrapText="1"/>
    </xf>
    <xf numFmtId="0" fontId="20" fillId="0" borderId="8" xfId="26" applyFont="1" applyBorder="1" applyAlignment="1">
      <alignment horizontal="center" vertical="center" wrapText="1"/>
    </xf>
    <xf numFmtId="0" fontId="20" fillId="0" borderId="13" xfId="26" applyFont="1" applyBorder="1" applyAlignment="1">
      <alignment horizontal="center" vertical="center" wrapText="1"/>
    </xf>
    <xf numFmtId="0" fontId="20" fillId="0" borderId="14" xfId="26" applyFont="1" applyBorder="1" applyAlignment="1">
      <alignment horizontal="center" vertical="center" wrapText="1"/>
    </xf>
    <xf numFmtId="0" fontId="20" fillId="0" borderId="8" xfId="26" applyFont="1" applyBorder="1" applyAlignment="1">
      <alignment horizontal="justify" vertical="center" wrapText="1"/>
    </xf>
    <xf numFmtId="0" fontId="20" fillId="0" borderId="13" xfId="26" applyFont="1" applyBorder="1" applyAlignment="1">
      <alignment horizontal="justify" vertical="center" wrapText="1"/>
    </xf>
    <xf numFmtId="0" fontId="20" fillId="0" borderId="14" xfId="26" applyFont="1" applyBorder="1" applyAlignment="1">
      <alignment horizontal="justify" vertical="center" wrapText="1"/>
    </xf>
    <xf numFmtId="0" fontId="13" fillId="0" borderId="8" xfId="26" applyFont="1" applyBorder="1" applyAlignment="1">
      <alignment horizontal="center" vertical="center" wrapText="1"/>
    </xf>
    <xf numFmtId="0" fontId="13" fillId="0" borderId="13" xfId="26" applyFont="1" applyBorder="1" applyAlignment="1">
      <alignment horizontal="center" vertical="center" wrapText="1"/>
    </xf>
    <xf numFmtId="0" fontId="13" fillId="0" borderId="14" xfId="26" applyFont="1" applyBorder="1" applyAlignment="1">
      <alignment horizontal="center" vertical="center" wrapText="1"/>
    </xf>
    <xf numFmtId="9" fontId="8" fillId="0" borderId="8" xfId="11" applyFont="1" applyFill="1" applyBorder="1" applyAlignment="1">
      <alignment horizontal="center" vertical="center" wrapText="1"/>
    </xf>
    <xf numFmtId="9" fontId="8" fillId="0" borderId="13" xfId="11" applyFont="1" applyFill="1" applyBorder="1" applyAlignment="1">
      <alignment horizontal="center" vertical="center" wrapText="1"/>
    </xf>
    <xf numFmtId="9" fontId="8" fillId="0" borderId="14" xfId="11" applyFont="1" applyFill="1" applyBorder="1" applyAlignment="1">
      <alignment horizontal="center" vertical="center" wrapText="1"/>
    </xf>
    <xf numFmtId="49" fontId="8" fillId="0" borderId="1" xfId="27" applyNumberFormat="1" applyFont="1" applyFill="1" applyBorder="1" applyAlignment="1">
      <alignment horizontal="justify" vertical="center" wrapText="1"/>
    </xf>
    <xf numFmtId="9" fontId="20" fillId="0" borderId="8" xfId="11" applyFont="1" applyBorder="1" applyAlignment="1">
      <alignment horizontal="center" vertical="center" wrapText="1"/>
    </xf>
    <xf numFmtId="9" fontId="20" fillId="0" borderId="13" xfId="11" applyFont="1" applyBorder="1" applyAlignment="1">
      <alignment horizontal="center" vertical="center" wrapText="1"/>
    </xf>
    <xf numFmtId="9" fontId="20" fillId="0" borderId="14" xfId="11" applyFont="1" applyBorder="1" applyAlignment="1">
      <alignment horizontal="center" vertical="center" wrapText="1"/>
    </xf>
    <xf numFmtId="49" fontId="8" fillId="0" borderId="8" xfId="27" applyNumberFormat="1" applyFont="1" applyFill="1" applyBorder="1" applyAlignment="1">
      <alignment horizontal="center" vertical="center" wrapText="1"/>
    </xf>
    <xf numFmtId="49" fontId="8" fillId="0" borderId="13" xfId="27" applyNumberFormat="1" applyFont="1" applyFill="1" applyBorder="1" applyAlignment="1">
      <alignment horizontal="center" vertical="center" wrapText="1"/>
    </xf>
    <xf numFmtId="49" fontId="8" fillId="0" borderId="14" xfId="27" applyNumberFormat="1" applyFont="1" applyFill="1" applyBorder="1" applyAlignment="1">
      <alignment horizontal="center" vertical="center" wrapText="1"/>
    </xf>
    <xf numFmtId="49" fontId="8" fillId="0" borderId="8" xfId="27" applyNumberFormat="1" applyFont="1" applyFill="1" applyBorder="1" applyAlignment="1">
      <alignment horizontal="justify" vertical="center" wrapText="1"/>
    </xf>
    <xf numFmtId="49" fontId="8" fillId="0" borderId="14" xfId="27" applyNumberFormat="1" applyFont="1" applyFill="1" applyBorder="1" applyAlignment="1">
      <alignment horizontal="justify" vertical="center" wrapText="1"/>
    </xf>
    <xf numFmtId="164" fontId="16" fillId="7" borderId="14" xfId="26" applyNumberFormat="1" applyFont="1" applyFill="1" applyBorder="1" applyAlignment="1">
      <alignment horizontal="center" vertical="center" wrapText="1"/>
    </xf>
    <xf numFmtId="0" fontId="20" fillId="7" borderId="6" xfId="26" applyFont="1" applyFill="1" applyBorder="1" applyAlignment="1">
      <alignment horizontal="justify" vertical="center" wrapText="1"/>
    </xf>
    <xf numFmtId="0" fontId="20" fillId="7" borderId="11" xfId="26" applyFont="1" applyFill="1" applyBorder="1" applyAlignment="1">
      <alignment horizontal="justify" vertical="center" wrapText="1"/>
    </xf>
    <xf numFmtId="0" fontId="20" fillId="7" borderId="5" xfId="26" applyFont="1" applyFill="1" applyBorder="1" applyAlignment="1">
      <alignment horizontal="justify" vertical="center" wrapText="1"/>
    </xf>
    <xf numFmtId="49" fontId="20" fillId="0" borderId="8" xfId="27" applyNumberFormat="1" applyFont="1" applyFill="1" applyBorder="1" applyAlignment="1">
      <alignment horizontal="justify" vertical="center" wrapText="1"/>
    </xf>
    <xf numFmtId="49" fontId="20" fillId="0" borderId="13" xfId="27" applyNumberFormat="1" applyFont="1" applyFill="1" applyBorder="1" applyAlignment="1">
      <alignment horizontal="justify" vertical="center" wrapText="1"/>
    </xf>
    <xf numFmtId="49" fontId="20" fillId="0" borderId="14" xfId="27" applyNumberFormat="1" applyFont="1" applyFill="1" applyBorder="1" applyAlignment="1">
      <alignment horizontal="justify" vertical="center" wrapText="1"/>
    </xf>
    <xf numFmtId="0" fontId="20" fillId="7" borderId="3" xfId="26" applyFont="1" applyFill="1" applyBorder="1" applyAlignment="1">
      <alignment horizontal="center" vertical="center" wrapText="1"/>
    </xf>
    <xf numFmtId="0" fontId="20" fillId="7" borderId="0" xfId="26" applyFont="1" applyFill="1" applyBorder="1" applyAlignment="1">
      <alignment horizontal="center" vertical="center" wrapText="1"/>
    </xf>
    <xf numFmtId="0" fontId="20" fillId="7" borderId="2" xfId="26" applyFont="1" applyFill="1" applyBorder="1" applyAlignment="1">
      <alignment horizontal="center" vertical="center" wrapText="1"/>
    </xf>
    <xf numFmtId="0" fontId="20" fillId="0" borderId="3" xfId="26" applyFont="1" applyFill="1" applyBorder="1" applyAlignment="1">
      <alignment horizontal="center" vertical="center" wrapText="1"/>
    </xf>
    <xf numFmtId="0" fontId="20" fillId="0" borderId="0" xfId="26" applyFont="1" applyFill="1" applyBorder="1" applyAlignment="1">
      <alignment horizontal="center" vertical="center" wrapText="1"/>
    </xf>
    <xf numFmtId="0" fontId="20" fillId="0" borderId="2" xfId="26" applyFont="1" applyFill="1" applyBorder="1" applyAlignment="1">
      <alignment horizontal="center" vertical="center" wrapText="1"/>
    </xf>
    <xf numFmtId="0" fontId="26" fillId="0" borderId="8"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16" fillId="0" borderId="7" xfId="0" applyFont="1" applyBorder="1" applyAlignment="1">
      <alignment horizontal="center" vertical="center"/>
    </xf>
    <xf numFmtId="0" fontId="16" fillId="0" borderId="12" xfId="0" applyFont="1" applyBorder="1" applyAlignment="1">
      <alignment horizontal="center" vertical="center"/>
    </xf>
    <xf numFmtId="0" fontId="16" fillId="0" borderId="4" xfId="0" applyFont="1" applyBorder="1" applyAlignment="1">
      <alignment horizontal="center" vertical="center"/>
    </xf>
    <xf numFmtId="0" fontId="20" fillId="0" borderId="8" xfId="26" applyFont="1" applyFill="1" applyBorder="1" applyAlignment="1">
      <alignment horizontal="justify" vertical="center" wrapText="1"/>
    </xf>
    <xf numFmtId="0" fontId="20" fillId="0" borderId="13" xfId="26" applyFont="1" applyFill="1" applyBorder="1" applyAlignment="1">
      <alignment horizontal="justify" vertical="center" wrapText="1"/>
    </xf>
    <xf numFmtId="0" fontId="20" fillId="0" borderId="14" xfId="26" applyFont="1" applyFill="1" applyBorder="1" applyAlignment="1">
      <alignment horizontal="justify" vertical="center" wrapText="1"/>
    </xf>
    <xf numFmtId="0" fontId="20" fillId="7" borderId="1" xfId="26" applyFont="1" applyFill="1" applyBorder="1" applyAlignment="1">
      <alignment horizontal="center" vertical="center" wrapText="1"/>
    </xf>
    <xf numFmtId="9" fontId="16" fillId="0" borderId="8" xfId="4" applyFont="1" applyBorder="1" applyAlignment="1">
      <alignment horizontal="center" vertical="center"/>
    </xf>
    <xf numFmtId="9" fontId="16" fillId="0" borderId="13" xfId="4" applyFont="1" applyBorder="1" applyAlignment="1">
      <alignment horizontal="center" vertical="center"/>
    </xf>
    <xf numFmtId="9" fontId="16" fillId="0" borderId="14" xfId="4" applyFont="1" applyBorder="1" applyAlignment="1">
      <alignment horizontal="center" vertical="center"/>
    </xf>
    <xf numFmtId="9" fontId="16" fillId="0" borderId="7" xfId="4" applyFont="1" applyBorder="1" applyAlignment="1">
      <alignment horizontal="center" vertical="center"/>
    </xf>
    <xf numFmtId="9" fontId="16" fillId="0" borderId="12" xfId="4" applyFont="1" applyBorder="1" applyAlignment="1">
      <alignment horizontal="center" vertical="center"/>
    </xf>
    <xf numFmtId="9" fontId="16" fillId="0" borderId="4" xfId="4" applyFont="1" applyBorder="1" applyAlignment="1">
      <alignment horizontal="center" vertical="center"/>
    </xf>
    <xf numFmtId="164" fontId="13" fillId="0" borderId="7" xfId="0" applyNumberFormat="1" applyFont="1" applyBorder="1" applyAlignment="1">
      <alignment horizontal="center" vertical="center"/>
    </xf>
    <xf numFmtId="164" fontId="13" fillId="0" borderId="12" xfId="0" applyNumberFormat="1" applyFont="1" applyBorder="1" applyAlignment="1">
      <alignment horizontal="center" vertical="center"/>
    </xf>
    <xf numFmtId="164" fontId="13" fillId="0" borderId="4" xfId="0" applyNumberFormat="1" applyFont="1" applyBorder="1" applyAlignment="1">
      <alignment horizontal="center" vertical="center"/>
    </xf>
    <xf numFmtId="1" fontId="13" fillId="7" borderId="8" xfId="26" applyNumberFormat="1" applyFont="1" applyFill="1" applyBorder="1" applyAlignment="1">
      <alignment horizontal="center" vertical="center" wrapText="1"/>
    </xf>
    <xf numFmtId="1" fontId="13" fillId="7" borderId="13" xfId="26" applyNumberFormat="1" applyFont="1" applyFill="1" applyBorder="1" applyAlignment="1">
      <alignment horizontal="center" vertical="center" wrapText="1"/>
    </xf>
    <xf numFmtId="1" fontId="13" fillId="7" borderId="14" xfId="26" applyNumberFormat="1" applyFont="1" applyFill="1" applyBorder="1" applyAlignment="1">
      <alignment horizontal="center" vertical="center" wrapText="1"/>
    </xf>
    <xf numFmtId="9" fontId="8" fillId="0" borderId="7" xfId="0" applyNumberFormat="1" applyFont="1" applyBorder="1" applyAlignment="1">
      <alignment horizontal="center" vertical="center"/>
    </xf>
    <xf numFmtId="9" fontId="8" fillId="0" borderId="12" xfId="0" applyNumberFormat="1" applyFont="1" applyBorder="1" applyAlignment="1">
      <alignment horizontal="center" vertical="center"/>
    </xf>
    <xf numFmtId="9" fontId="8" fillId="0" borderId="8" xfId="0" applyNumberFormat="1" applyFont="1" applyBorder="1" applyAlignment="1">
      <alignment horizontal="center" vertical="center"/>
    </xf>
    <xf numFmtId="9" fontId="8" fillId="0" borderId="13" xfId="0" applyNumberFormat="1" applyFont="1" applyBorder="1" applyAlignment="1">
      <alignment horizontal="center" vertical="center"/>
    </xf>
    <xf numFmtId="9" fontId="8" fillId="0" borderId="14" xfId="0" applyNumberFormat="1" applyFont="1" applyBorder="1" applyAlignment="1">
      <alignment horizontal="center" vertical="center"/>
    </xf>
    <xf numFmtId="49" fontId="20" fillId="0" borderId="8" xfId="27" applyNumberFormat="1" applyFont="1" applyFill="1" applyBorder="1" applyAlignment="1">
      <alignment horizontal="left" vertical="center" wrapText="1"/>
    </xf>
    <xf numFmtId="49" fontId="20" fillId="0" borderId="14" xfId="27" applyNumberFormat="1" applyFont="1" applyFill="1" applyBorder="1" applyAlignment="1">
      <alignment horizontal="left" vertical="center" wrapText="1"/>
    </xf>
    <xf numFmtId="9" fontId="16" fillId="0" borderId="1" xfId="4" applyFont="1" applyBorder="1" applyAlignment="1">
      <alignment horizontal="center" vertical="center"/>
    </xf>
    <xf numFmtId="164" fontId="13" fillId="0" borderId="8" xfId="0" applyNumberFormat="1" applyFont="1" applyBorder="1" applyAlignment="1">
      <alignment horizontal="center" vertical="center"/>
    </xf>
    <xf numFmtId="164" fontId="13" fillId="0" borderId="13" xfId="0" applyNumberFormat="1" applyFont="1" applyBorder="1" applyAlignment="1">
      <alignment horizontal="center" vertical="center"/>
    </xf>
    <xf numFmtId="164" fontId="13" fillId="0" borderId="14" xfId="0" applyNumberFormat="1" applyFont="1" applyBorder="1" applyAlignment="1">
      <alignment horizontal="center" vertical="center"/>
    </xf>
    <xf numFmtId="0" fontId="20" fillId="7" borderId="15" xfId="26" applyFont="1" applyFill="1" applyBorder="1" applyAlignment="1">
      <alignment horizontal="center" vertical="center" wrapText="1"/>
    </xf>
    <xf numFmtId="0" fontId="20" fillId="7" borderId="7" xfId="26" applyFont="1" applyFill="1" applyBorder="1" applyAlignment="1">
      <alignment horizontal="justify" vertical="center" wrapText="1"/>
    </xf>
    <xf numFmtId="0" fontId="20" fillId="7" borderId="12" xfId="26" applyFont="1" applyFill="1" applyBorder="1" applyAlignment="1">
      <alignment horizontal="justify" vertical="center" wrapText="1"/>
    </xf>
    <xf numFmtId="0" fontId="20" fillId="7" borderId="4" xfId="26" applyFont="1" applyFill="1" applyBorder="1" applyAlignment="1">
      <alignment horizontal="justify" vertical="center" wrapText="1"/>
    </xf>
    <xf numFmtId="10" fontId="33" fillId="28" borderId="1" xfId="11" applyNumberFormat="1" applyFont="1" applyFill="1" applyBorder="1" applyAlignment="1">
      <alignment horizontal="center" vertical="center" wrapText="1"/>
    </xf>
    <xf numFmtId="43" fontId="33" fillId="28" borderId="1" xfId="9" applyFont="1" applyFill="1" applyBorder="1" applyAlignment="1">
      <alignment horizontal="center" vertical="center" wrapText="1"/>
    </xf>
    <xf numFmtId="0" fontId="20" fillId="0" borderId="6" xfId="26" applyFont="1" applyFill="1" applyBorder="1" applyAlignment="1">
      <alignment horizontal="justify" vertical="center" wrapText="1"/>
    </xf>
    <xf numFmtId="0" fontId="20" fillId="0" borderId="5" xfId="26" applyFont="1" applyFill="1" applyBorder="1" applyAlignment="1">
      <alignment horizontal="justify" vertical="center" wrapText="1"/>
    </xf>
    <xf numFmtId="0" fontId="20" fillId="7" borderId="1" xfId="26" applyFont="1" applyFill="1" applyBorder="1" applyAlignment="1">
      <alignment horizontal="left" vertical="center" wrapText="1"/>
    </xf>
    <xf numFmtId="0" fontId="20" fillId="7" borderId="3" xfId="26" applyFont="1" applyFill="1" applyBorder="1" applyAlignment="1">
      <alignment horizontal="justify" vertical="center" wrapText="1"/>
    </xf>
    <xf numFmtId="0" fontId="20" fillId="7" borderId="2" xfId="26" applyFont="1" applyFill="1" applyBorder="1" applyAlignment="1">
      <alignment horizontal="justify" vertical="center" wrapText="1"/>
    </xf>
    <xf numFmtId="0" fontId="20" fillId="0" borderId="7" xfId="26" applyFont="1" applyFill="1" applyBorder="1" applyAlignment="1">
      <alignment horizontal="justify" vertical="center" wrapText="1"/>
    </xf>
    <xf numFmtId="0" fontId="20" fillId="0" borderId="4" xfId="26" applyFont="1" applyFill="1" applyBorder="1" applyAlignment="1">
      <alignment horizontal="justify" vertical="center" wrapText="1"/>
    </xf>
    <xf numFmtId="0" fontId="20" fillId="7" borderId="8" xfId="26" applyFont="1" applyFill="1" applyBorder="1" applyAlignment="1">
      <alignment horizontal="center" vertical="center"/>
    </xf>
    <xf numFmtId="0" fontId="20" fillId="7" borderId="13" xfId="26" applyFont="1" applyFill="1" applyBorder="1" applyAlignment="1">
      <alignment horizontal="center" vertical="center"/>
    </xf>
    <xf numFmtId="0" fontId="20" fillId="0" borderId="8" xfId="26" applyFont="1" applyBorder="1" applyAlignment="1">
      <alignment horizontal="center" vertical="center"/>
    </xf>
    <xf numFmtId="0" fontId="20" fillId="0" borderId="13" xfId="26" applyFont="1" applyBorder="1" applyAlignment="1">
      <alignment horizontal="center" vertical="center"/>
    </xf>
    <xf numFmtId="0" fontId="20" fillId="0" borderId="14" xfId="26" applyFont="1" applyBorder="1" applyAlignment="1">
      <alignment horizontal="center" vertical="center"/>
    </xf>
    <xf numFmtId="0" fontId="20" fillId="0" borderId="8" xfId="26" quotePrefix="1" applyFont="1" applyFill="1" applyBorder="1" applyAlignment="1">
      <alignment horizontal="justify" vertical="center" wrapText="1"/>
    </xf>
    <xf numFmtId="0" fontId="20" fillId="0" borderId="13" xfId="26" quotePrefix="1" applyFont="1" applyFill="1" applyBorder="1" applyAlignment="1">
      <alignment horizontal="justify" vertical="center" wrapText="1"/>
    </xf>
    <xf numFmtId="0" fontId="20" fillId="0" borderId="14" xfId="26" quotePrefix="1" applyFont="1" applyFill="1" applyBorder="1" applyAlignment="1">
      <alignment horizontal="justify" vertical="center" wrapText="1"/>
    </xf>
    <xf numFmtId="0" fontId="20" fillId="7" borderId="8" xfId="26" applyFont="1" applyFill="1" applyBorder="1" applyAlignment="1">
      <alignment horizontal="left" vertical="center" wrapText="1"/>
    </xf>
    <xf numFmtId="0" fontId="20" fillId="7" borderId="13" xfId="26" applyFont="1" applyFill="1" applyBorder="1" applyAlignment="1">
      <alignment horizontal="left" vertical="center" wrapText="1"/>
    </xf>
    <xf numFmtId="0" fontId="20" fillId="7" borderId="14" xfId="26" applyFont="1" applyFill="1" applyBorder="1" applyAlignment="1">
      <alignment horizontal="left" vertical="center" wrapText="1"/>
    </xf>
    <xf numFmtId="0" fontId="20" fillId="7" borderId="14" xfId="26" applyFont="1" applyFill="1" applyBorder="1" applyAlignment="1">
      <alignment horizontal="center" vertical="center"/>
    </xf>
    <xf numFmtId="0" fontId="20" fillId="0" borderId="8" xfId="26" applyFont="1" applyBorder="1" applyAlignment="1">
      <alignment horizontal="left" vertical="center" wrapText="1"/>
    </xf>
    <xf numFmtId="0" fontId="20" fillId="0" borderId="13" xfId="26" applyFont="1" applyBorder="1" applyAlignment="1">
      <alignment horizontal="left" vertical="center" wrapText="1"/>
    </xf>
    <xf numFmtId="0" fontId="16" fillId="0" borderId="8" xfId="9" applyNumberFormat="1" applyFont="1" applyFill="1" applyBorder="1" applyAlignment="1">
      <alignment horizontal="center" vertical="center" wrapText="1"/>
    </xf>
    <xf numFmtId="0" fontId="16" fillId="0" borderId="13" xfId="9" applyNumberFormat="1" applyFont="1" applyFill="1" applyBorder="1" applyAlignment="1">
      <alignment horizontal="center" vertical="center" wrapText="1"/>
    </xf>
    <xf numFmtId="0" fontId="16" fillId="0" borderId="14" xfId="9" applyNumberFormat="1" applyFont="1" applyFill="1" applyBorder="1" applyAlignment="1">
      <alignment horizontal="center" vertical="center" wrapText="1"/>
    </xf>
    <xf numFmtId="9" fontId="20" fillId="0" borderId="1" xfId="11" applyFont="1" applyBorder="1" applyAlignment="1">
      <alignment horizontal="center" vertical="center" wrapText="1"/>
    </xf>
    <xf numFmtId="0" fontId="20" fillId="0" borderId="1" xfId="26" applyFont="1" applyBorder="1" applyAlignment="1">
      <alignment horizontal="justify" vertical="center" wrapText="1"/>
    </xf>
    <xf numFmtId="43" fontId="20" fillId="7" borderId="1" xfId="9"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5" xfId="0" applyFont="1" applyBorder="1" applyAlignment="1">
      <alignment horizontal="center" vertical="center" wrapText="1"/>
    </xf>
    <xf numFmtId="0" fontId="30" fillId="0" borderId="31" xfId="0" applyFont="1" applyBorder="1" applyAlignment="1">
      <alignment horizontal="center" vertical="center"/>
    </xf>
    <xf numFmtId="0" fontId="30" fillId="8" borderId="30" xfId="0" applyFont="1" applyFill="1" applyBorder="1" applyAlignment="1">
      <alignment horizontal="center" vertical="center" wrapText="1"/>
    </xf>
    <xf numFmtId="181" fontId="30" fillId="8" borderId="7" xfId="22" applyFont="1" applyFill="1" applyBorder="1" applyAlignment="1">
      <alignment horizontal="center" vertical="center" wrapText="1"/>
    </xf>
    <xf numFmtId="181" fontId="30" fillId="8" borderId="12" xfId="22" applyFont="1" applyFill="1" applyBorder="1" applyAlignment="1">
      <alignment horizontal="center" vertical="center" wrapText="1"/>
    </xf>
    <xf numFmtId="1" fontId="13" fillId="7" borderId="13" xfId="0" applyNumberFormat="1" applyFont="1" applyFill="1" applyBorder="1" applyAlignment="1">
      <alignment horizontal="center" vertical="center" wrapText="1"/>
    </xf>
    <xf numFmtId="0" fontId="13" fillId="7" borderId="1" xfId="0" applyFont="1" applyFill="1" applyBorder="1" applyAlignment="1">
      <alignment horizontal="center"/>
    </xf>
    <xf numFmtId="3" fontId="13" fillId="7" borderId="8" xfId="0" applyNumberFormat="1" applyFont="1" applyFill="1" applyBorder="1" applyAlignment="1">
      <alignment horizontal="justify" vertical="center" wrapText="1"/>
    </xf>
    <xf numFmtId="3" fontId="13" fillId="7" borderId="13" xfId="0" applyNumberFormat="1" applyFont="1" applyFill="1" applyBorder="1" applyAlignment="1">
      <alignment horizontal="justify" vertical="center" wrapText="1"/>
    </xf>
    <xf numFmtId="3" fontId="13" fillId="7" borderId="14" xfId="0" applyNumberFormat="1" applyFont="1" applyFill="1" applyBorder="1" applyAlignment="1">
      <alignment horizontal="justify" vertical="center" wrapText="1"/>
    </xf>
    <xf numFmtId="0" fontId="13" fillId="0" borderId="1" xfId="0" applyFont="1" applyBorder="1" applyAlignment="1">
      <alignment horizontal="center" vertical="center" wrapText="1"/>
    </xf>
    <xf numFmtId="0" fontId="13" fillId="7" borderId="7" xfId="0" applyFont="1" applyFill="1" applyBorder="1" applyAlignment="1">
      <alignment horizontal="center"/>
    </xf>
    <xf numFmtId="0" fontId="13" fillId="7" borderId="12" xfId="0" applyFont="1" applyFill="1" applyBorder="1" applyAlignment="1">
      <alignment horizontal="center"/>
    </xf>
    <xf numFmtId="0" fontId="13" fillId="7" borderId="4" xfId="0" applyFont="1" applyFill="1" applyBorder="1" applyAlignment="1">
      <alignment horizontal="center"/>
    </xf>
    <xf numFmtId="3" fontId="13" fillId="7" borderId="1" xfId="0" applyNumberFormat="1" applyFont="1" applyFill="1" applyBorder="1" applyAlignment="1">
      <alignment horizontal="justify" vertical="center" wrapText="1"/>
    </xf>
    <xf numFmtId="166" fontId="13" fillId="7" borderId="8" xfId="0" applyNumberFormat="1" applyFont="1" applyFill="1" applyBorder="1" applyAlignment="1">
      <alignment horizontal="justify" vertical="center" wrapText="1"/>
    </xf>
    <xf numFmtId="166" fontId="13" fillId="7" borderId="13" xfId="0" applyNumberFormat="1" applyFont="1" applyFill="1" applyBorder="1" applyAlignment="1">
      <alignment horizontal="justify" vertical="center" wrapText="1"/>
    </xf>
    <xf numFmtId="0" fontId="13" fillId="0" borderId="8" xfId="0" applyFont="1" applyBorder="1" applyAlignment="1">
      <alignment horizontal="justify" vertical="top" wrapText="1"/>
    </xf>
    <xf numFmtId="0" fontId="13" fillId="0" borderId="13" xfId="0" applyFont="1" applyBorder="1" applyAlignment="1">
      <alignment horizontal="justify" vertical="top" wrapText="1"/>
    </xf>
    <xf numFmtId="0" fontId="13" fillId="7" borderId="8" xfId="0" applyFont="1" applyFill="1" applyBorder="1" applyAlignment="1">
      <alignment horizontal="center"/>
    </xf>
    <xf numFmtId="0" fontId="13" fillId="7" borderId="13" xfId="0" applyFont="1" applyFill="1" applyBorder="1" applyAlignment="1">
      <alignment horizontal="center"/>
    </xf>
    <xf numFmtId="0" fontId="13" fillId="7" borderId="8" xfId="0" applyFont="1" applyFill="1" applyBorder="1" applyAlignment="1">
      <alignment horizontal="justify" vertical="top" wrapText="1"/>
    </xf>
    <xf numFmtId="0" fontId="13" fillId="7" borderId="14" xfId="0" applyFont="1" applyFill="1" applyBorder="1" applyAlignment="1">
      <alignment horizontal="justify" vertical="top" wrapText="1"/>
    </xf>
    <xf numFmtId="9" fontId="13" fillId="7" borderId="8" xfId="0" applyNumberFormat="1" applyFont="1" applyFill="1" applyBorder="1" applyAlignment="1">
      <alignment horizontal="center" vertical="center" wrapText="1"/>
    </xf>
    <xf numFmtId="9" fontId="13" fillId="7" borderId="14" xfId="0" applyNumberFormat="1" applyFont="1" applyFill="1" applyBorder="1" applyAlignment="1">
      <alignment horizontal="center" vertical="center" wrapText="1"/>
    </xf>
    <xf numFmtId="0" fontId="13" fillId="7" borderId="2" xfId="0" applyFont="1" applyFill="1" applyBorder="1" applyAlignment="1">
      <alignment horizontal="center" vertical="center" wrapText="1"/>
    </xf>
    <xf numFmtId="0" fontId="26" fillId="27" borderId="8" xfId="0" applyFont="1" applyFill="1" applyBorder="1" applyAlignment="1">
      <alignment horizontal="justify" vertical="center"/>
    </xf>
    <xf numFmtId="0" fontId="26" fillId="27" borderId="13" xfId="0" applyFont="1" applyFill="1" applyBorder="1" applyAlignment="1">
      <alignment horizontal="justify" vertical="center"/>
    </xf>
    <xf numFmtId="0" fontId="7" fillId="0" borderId="0" xfId="0" applyFont="1" applyAlignment="1">
      <alignment horizontal="center" vertical="center" wrapText="1"/>
    </xf>
    <xf numFmtId="0" fontId="7" fillId="0" borderId="1" xfId="0" applyFont="1" applyBorder="1" applyAlignment="1">
      <alignment horizontal="justify" vertical="center"/>
    </xf>
    <xf numFmtId="14" fontId="26" fillId="27" borderId="1" xfId="0" applyNumberFormat="1" applyFont="1" applyFill="1" applyBorder="1" applyAlignment="1">
      <alignment horizontal="justify" vertical="center" wrapText="1"/>
    </xf>
    <xf numFmtId="3" fontId="26" fillId="27" borderId="1" xfId="0" applyNumberFormat="1" applyFont="1" applyFill="1" applyBorder="1" applyAlignment="1">
      <alignment horizontal="justify" vertical="center" wrapText="1"/>
    </xf>
    <xf numFmtId="0" fontId="26" fillId="27" borderId="14" xfId="0" applyFont="1" applyFill="1" applyBorder="1" applyAlignment="1">
      <alignment horizontal="justify" vertical="center"/>
    </xf>
    <xf numFmtId="0" fontId="26" fillId="27" borderId="8" xfId="0" applyFont="1" applyFill="1" applyBorder="1" applyAlignment="1">
      <alignment horizontal="justify" vertical="center" wrapText="1"/>
    </xf>
    <xf numFmtId="0" fontId="26" fillId="27" borderId="13" xfId="0" applyFont="1" applyFill="1" applyBorder="1" applyAlignment="1">
      <alignment horizontal="justify" vertical="center" wrapText="1"/>
    </xf>
    <xf numFmtId="3" fontId="26" fillId="27" borderId="8" xfId="0" applyNumberFormat="1" applyFont="1" applyFill="1" applyBorder="1" applyAlignment="1">
      <alignment horizontal="justify" vertical="center" wrapText="1"/>
    </xf>
    <xf numFmtId="3" fontId="26" fillId="27" borderId="14" xfId="0" applyNumberFormat="1" applyFont="1" applyFill="1" applyBorder="1" applyAlignment="1">
      <alignment horizontal="justify" vertical="center" wrapText="1"/>
    </xf>
    <xf numFmtId="0" fontId="26" fillId="27" borderId="8" xfId="0" applyFont="1" applyFill="1" applyBorder="1" applyAlignment="1">
      <alignment horizontal="center" vertical="center" wrapText="1"/>
    </xf>
    <xf numFmtId="0" fontId="26" fillId="27" borderId="13" xfId="0" applyFont="1" applyFill="1" applyBorder="1" applyAlignment="1">
      <alignment horizontal="center" vertical="center" wrapText="1"/>
    </xf>
    <xf numFmtId="0" fontId="26" fillId="27" borderId="14" xfId="0" applyFont="1" applyFill="1" applyBorder="1" applyAlignment="1">
      <alignment horizontal="center" vertical="center" wrapText="1"/>
    </xf>
    <xf numFmtId="0" fontId="16" fillId="0" borderId="8" xfId="0" applyFont="1" applyBorder="1" applyAlignment="1">
      <alignment horizontal="center" vertical="center" wrapText="1"/>
    </xf>
    <xf numFmtId="0" fontId="16" fillId="0" borderId="14" xfId="0" applyFont="1" applyBorder="1" applyAlignment="1">
      <alignment horizontal="center" vertical="center" wrapText="1"/>
    </xf>
    <xf numFmtId="9" fontId="16" fillId="0" borderId="8" xfId="4" applyFont="1" applyBorder="1" applyAlignment="1">
      <alignment horizontal="center" vertical="center" wrapText="1"/>
    </xf>
    <xf numFmtId="9" fontId="16" fillId="0" borderId="14" xfId="4" applyFont="1" applyBorder="1" applyAlignment="1">
      <alignment horizontal="center" vertical="center" wrapText="1"/>
    </xf>
    <xf numFmtId="43" fontId="16" fillId="0" borderId="8" xfId="1" applyFont="1" applyBorder="1" applyAlignment="1">
      <alignment horizontal="center" vertical="center" wrapText="1"/>
    </xf>
    <xf numFmtId="43" fontId="16" fillId="0" borderId="14" xfId="1" applyFont="1" applyBorder="1" applyAlignment="1">
      <alignment horizontal="center" vertical="center" wrapText="1"/>
    </xf>
    <xf numFmtId="0" fontId="15" fillId="9" borderId="8" xfId="0" applyFont="1" applyFill="1" applyBorder="1" applyAlignment="1">
      <alignment horizontal="center" vertical="center" textRotation="90" wrapText="1"/>
    </xf>
    <xf numFmtId="0" fontId="15" fillId="9" borderId="14" xfId="0" applyFont="1" applyFill="1" applyBorder="1" applyAlignment="1">
      <alignment horizontal="center" vertical="center" textRotation="90" wrapText="1"/>
    </xf>
    <xf numFmtId="0" fontId="23" fillId="10" borderId="9" xfId="0" applyFont="1" applyFill="1" applyBorder="1" applyAlignment="1">
      <alignment horizontal="left" vertical="center" wrapText="1"/>
    </xf>
    <xf numFmtId="0" fontId="23" fillId="10" borderId="10" xfId="0" applyFont="1" applyFill="1" applyBorder="1" applyAlignment="1">
      <alignment horizontal="left" vertical="center" wrapText="1"/>
    </xf>
    <xf numFmtId="0" fontId="23" fillId="15" borderId="9" xfId="0" applyFont="1" applyFill="1" applyBorder="1" applyAlignment="1">
      <alignment horizontal="left" vertical="center" wrapText="1"/>
    </xf>
    <xf numFmtId="0" fontId="23" fillId="15" borderId="10" xfId="0" applyFont="1" applyFill="1" applyBorder="1" applyAlignment="1">
      <alignment horizontal="left" vertical="center" wrapText="1"/>
    </xf>
    <xf numFmtId="0" fontId="23" fillId="15" borderId="15" xfId="0" applyFont="1" applyFill="1" applyBorder="1" applyAlignment="1">
      <alignment horizontal="left" vertical="center" wrapText="1"/>
    </xf>
    <xf numFmtId="0" fontId="23" fillId="12" borderId="1" xfId="0" applyFont="1" applyFill="1" applyBorder="1" applyAlignment="1">
      <alignment horizontal="left" vertical="center" wrapText="1"/>
    </xf>
    <xf numFmtId="49" fontId="16" fillId="7" borderId="8" xfId="0" applyNumberFormat="1" applyFont="1" applyFill="1" applyBorder="1" applyAlignment="1">
      <alignment horizontal="center" vertical="center" wrapText="1"/>
    </xf>
    <xf numFmtId="49" fontId="16" fillId="7" borderId="14" xfId="0" applyNumberFormat="1"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14" xfId="0" applyFont="1" applyFill="1" applyBorder="1" applyAlignment="1">
      <alignment horizontal="center" vertical="center" wrapText="1"/>
    </xf>
    <xf numFmtId="0" fontId="16" fillId="0" borderId="8" xfId="1" applyNumberFormat="1" applyFont="1" applyBorder="1" applyAlignment="1">
      <alignment horizontal="center" vertical="center" wrapText="1"/>
    </xf>
    <xf numFmtId="0" fontId="16" fillId="0" borderId="14" xfId="1" applyNumberFormat="1" applyFont="1" applyBorder="1" applyAlignment="1">
      <alignment horizontal="center" vertical="center" wrapText="1"/>
    </xf>
    <xf numFmtId="41" fontId="16" fillId="0" borderId="8" xfId="2" applyFont="1" applyBorder="1" applyAlignment="1">
      <alignment horizontal="center" vertical="center" wrapText="1"/>
    </xf>
    <xf numFmtId="41" fontId="16" fillId="0" borderId="14" xfId="2" applyFont="1" applyBorder="1" applyAlignment="1">
      <alignment horizontal="center" vertical="center" wrapText="1"/>
    </xf>
    <xf numFmtId="187" fontId="16" fillId="0" borderId="8" xfId="0" applyNumberFormat="1" applyFont="1" applyBorder="1" applyAlignment="1">
      <alignment horizontal="center" vertical="center" wrapText="1"/>
    </xf>
    <xf numFmtId="187" fontId="16" fillId="0" borderId="14" xfId="0" applyNumberFormat="1" applyFont="1" applyBorder="1" applyAlignment="1">
      <alignment horizontal="center" vertical="center" wrapText="1"/>
    </xf>
    <xf numFmtId="14" fontId="16" fillId="0" borderId="8" xfId="0" applyNumberFormat="1" applyFont="1" applyBorder="1" applyAlignment="1">
      <alignment horizontal="center" vertical="center" wrapText="1"/>
    </xf>
    <xf numFmtId="14" fontId="16" fillId="0" borderId="14" xfId="0" applyNumberFormat="1" applyFont="1" applyBorder="1" applyAlignment="1">
      <alignment horizontal="center" vertical="center" wrapText="1"/>
    </xf>
    <xf numFmtId="0" fontId="26" fillId="12" borderId="1" xfId="0" applyFont="1" applyFill="1" applyBorder="1" applyAlignment="1">
      <alignment horizontal="left" vertical="center" wrapText="1"/>
    </xf>
    <xf numFmtId="0" fontId="26" fillId="0" borderId="8"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187" fontId="16" fillId="7" borderId="8" xfId="0" applyNumberFormat="1" applyFont="1" applyFill="1" applyBorder="1" applyAlignment="1">
      <alignment horizontal="center" vertical="center" wrapText="1"/>
    </xf>
    <xf numFmtId="187" fontId="16" fillId="7" borderId="14" xfId="0" applyNumberFormat="1" applyFont="1" applyFill="1" applyBorder="1" applyAlignment="1">
      <alignment horizontal="center" vertical="center" wrapText="1"/>
    </xf>
    <xf numFmtId="41" fontId="16" fillId="7" borderId="8" xfId="2" applyFont="1" applyFill="1" applyBorder="1" applyAlignment="1">
      <alignment horizontal="center" vertical="center" wrapText="1"/>
    </xf>
    <xf numFmtId="41" fontId="16" fillId="7" borderId="13" xfId="2" applyFont="1" applyFill="1" applyBorder="1" applyAlignment="1">
      <alignment horizontal="center" vertical="center" wrapText="1"/>
    </xf>
    <xf numFmtId="41" fontId="16" fillId="7" borderId="14" xfId="2" applyFont="1" applyFill="1" applyBorder="1" applyAlignment="1">
      <alignment horizontal="center" vertical="center" wrapText="1"/>
    </xf>
    <xf numFmtId="0" fontId="16" fillId="7" borderId="13" xfId="0" applyFont="1" applyFill="1" applyBorder="1" applyAlignment="1">
      <alignment horizontal="center" vertical="center" wrapText="1"/>
    </xf>
    <xf numFmtId="41" fontId="16" fillId="0" borderId="13" xfId="2" applyFont="1" applyBorder="1" applyAlignment="1">
      <alignment horizontal="center" vertical="center" wrapText="1"/>
    </xf>
    <xf numFmtId="14" fontId="16" fillId="0" borderId="13" xfId="0" applyNumberFormat="1" applyFont="1" applyBorder="1" applyAlignment="1">
      <alignment horizontal="center" vertical="center" wrapText="1"/>
    </xf>
    <xf numFmtId="0" fontId="16" fillId="0" borderId="13" xfId="0" applyFont="1" applyBorder="1" applyAlignment="1">
      <alignment horizontal="center" vertical="center" wrapText="1"/>
    </xf>
    <xf numFmtId="174" fontId="16" fillId="7" borderId="8" xfId="4" applyNumberFormat="1" applyFont="1" applyFill="1" applyBorder="1" applyAlignment="1">
      <alignment horizontal="center" vertical="center" wrapText="1"/>
    </xf>
    <xf numFmtId="174" fontId="16" fillId="7" borderId="14" xfId="4" applyNumberFormat="1" applyFont="1" applyFill="1" applyBorder="1" applyAlignment="1">
      <alignment horizontal="center" vertical="center" wrapText="1"/>
    </xf>
    <xf numFmtId="0" fontId="12" fillId="0" borderId="0" xfId="0" applyFont="1" applyAlignment="1">
      <alignment horizontal="center" vertical="center" wrapText="1"/>
    </xf>
    <xf numFmtId="0" fontId="12" fillId="0" borderId="1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5" xfId="0" applyFont="1" applyBorder="1" applyAlignment="1">
      <alignment horizontal="center" vertical="center"/>
    </xf>
    <xf numFmtId="0" fontId="38" fillId="8" borderId="7" xfId="0" applyFont="1" applyFill="1" applyBorder="1" applyAlignment="1">
      <alignment horizontal="center" vertical="center" wrapText="1"/>
    </xf>
    <xf numFmtId="0" fontId="38" fillId="8" borderId="4" xfId="0" applyFont="1" applyFill="1" applyBorder="1" applyAlignment="1">
      <alignment horizontal="center" vertical="center" wrapText="1"/>
    </xf>
    <xf numFmtId="0" fontId="15" fillId="9" borderId="9" xfId="0" applyFont="1" applyFill="1" applyBorder="1" applyAlignment="1">
      <alignment horizontal="center" vertical="center" wrapText="1"/>
    </xf>
    <xf numFmtId="0" fontId="15" fillId="9" borderId="10" xfId="0" applyFont="1" applyFill="1" applyBorder="1" applyAlignment="1">
      <alignment horizontal="center" vertical="center" wrapText="1"/>
    </xf>
    <xf numFmtId="0" fontId="15" fillId="9" borderId="15" xfId="0" applyFont="1" applyFill="1" applyBorder="1" applyAlignment="1">
      <alignment horizontal="center" vertical="center" wrapText="1"/>
    </xf>
    <xf numFmtId="164" fontId="38" fillId="8" borderId="7" xfId="0" applyNumberFormat="1" applyFont="1" applyFill="1" applyBorder="1" applyAlignment="1">
      <alignment horizontal="center" vertical="center" wrapText="1"/>
    </xf>
    <xf numFmtId="164" fontId="38" fillId="8" borderId="4" xfId="0" applyNumberFormat="1" applyFont="1" applyFill="1" applyBorder="1" applyAlignment="1">
      <alignment horizontal="center" vertical="center" wrapText="1"/>
    </xf>
    <xf numFmtId="0" fontId="38" fillId="8" borderId="1" xfId="0" applyFont="1" applyFill="1" applyBorder="1" applyAlignment="1">
      <alignment horizontal="center" vertical="center" textRotation="90" wrapText="1"/>
    </xf>
    <xf numFmtId="9" fontId="9" fillId="0" borderId="8" xfId="4" applyFont="1" applyFill="1" applyBorder="1" applyAlignment="1">
      <alignment horizontal="center" vertical="center" wrapText="1"/>
    </xf>
    <xf numFmtId="9" fontId="9" fillId="0" borderId="14" xfId="4" applyFont="1" applyFill="1" applyBorder="1" applyAlignment="1">
      <alignment horizontal="center" vertical="center" wrapText="1"/>
    </xf>
    <xf numFmtId="0" fontId="38" fillId="8" borderId="12" xfId="0" applyFont="1" applyFill="1" applyBorder="1" applyAlignment="1">
      <alignment horizontal="center" vertical="center" wrapText="1"/>
    </xf>
    <xf numFmtId="3" fontId="15" fillId="9" borderId="9" xfId="0" applyNumberFormat="1" applyFont="1" applyFill="1" applyBorder="1" applyAlignment="1">
      <alignment horizontal="center" vertical="center" wrapText="1"/>
    </xf>
    <xf numFmtId="3" fontId="15" fillId="9" borderId="10" xfId="0" applyNumberFormat="1" applyFont="1" applyFill="1" applyBorder="1" applyAlignment="1">
      <alignment horizontal="center" vertical="center" wrapText="1"/>
    </xf>
    <xf numFmtId="43" fontId="13" fillId="0" borderId="8" xfId="1" applyFont="1" applyBorder="1" applyAlignment="1">
      <alignment horizontal="center" vertical="center" wrapText="1"/>
    </xf>
    <xf numFmtId="43" fontId="13" fillId="0" borderId="13" xfId="1" applyFont="1" applyBorder="1" applyAlignment="1">
      <alignment horizontal="center" vertical="center" wrapText="1"/>
    </xf>
    <xf numFmtId="0" fontId="9" fillId="0" borderId="1" xfId="0" applyFont="1" applyFill="1" applyBorder="1" applyAlignment="1">
      <alignment horizontal="justify" vertical="center" wrapText="1"/>
    </xf>
    <xf numFmtId="0" fontId="9" fillId="0" borderId="8" xfId="0" applyFont="1" applyFill="1" applyBorder="1" applyAlignment="1">
      <alignment horizontal="justify" vertical="center" wrapText="1"/>
    </xf>
    <xf numFmtId="2" fontId="9" fillId="7" borderId="8" xfId="0" applyNumberFormat="1" applyFont="1" applyFill="1" applyBorder="1" applyAlignment="1">
      <alignment horizontal="justify" vertical="center" wrapText="1"/>
    </xf>
    <xf numFmtId="2" fontId="9" fillId="7" borderId="14" xfId="0" applyNumberFormat="1" applyFont="1" applyFill="1" applyBorder="1" applyAlignment="1">
      <alignment horizontal="justify" vertical="center" wrapText="1"/>
    </xf>
    <xf numFmtId="3" fontId="9" fillId="7" borderId="8" xfId="0" applyNumberFormat="1" applyFont="1" applyFill="1" applyBorder="1" applyAlignment="1">
      <alignment horizontal="center" vertical="center" wrapText="1"/>
    </xf>
    <xf numFmtId="3" fontId="9" fillId="7" borderId="14" xfId="0" applyNumberFormat="1" applyFont="1" applyFill="1" applyBorder="1" applyAlignment="1">
      <alignment horizontal="center" vertical="center" wrapText="1"/>
    </xf>
    <xf numFmtId="0" fontId="9" fillId="7" borderId="8" xfId="0" applyFont="1" applyFill="1" applyBorder="1" applyAlignment="1">
      <alignment horizontal="justify" vertical="center" wrapText="1"/>
    </xf>
    <xf numFmtId="0" fontId="9" fillId="7" borderId="14" xfId="0" applyFont="1" applyFill="1" applyBorder="1" applyAlignment="1">
      <alignment horizontal="justify" vertical="center" wrapText="1"/>
    </xf>
    <xf numFmtId="0" fontId="9" fillId="0" borderId="14" xfId="0" applyFont="1" applyFill="1" applyBorder="1" applyAlignment="1">
      <alignment horizontal="justify" vertical="center" wrapText="1"/>
    </xf>
    <xf numFmtId="164" fontId="13" fillId="0" borderId="1" xfId="0" applyNumberFormat="1" applyFont="1" applyBorder="1" applyAlignment="1">
      <alignment horizontal="center" vertical="center" wrapText="1"/>
    </xf>
    <xf numFmtId="0" fontId="9" fillId="7" borderId="1" xfId="0" applyFont="1" applyFill="1" applyBorder="1" applyAlignment="1">
      <alignment horizontal="justify" vertical="center" wrapText="1"/>
    </xf>
    <xf numFmtId="0" fontId="9" fillId="7" borderId="13" xfId="0" applyFont="1" applyFill="1" applyBorder="1" applyAlignment="1">
      <alignment horizontal="justify" vertical="center" wrapText="1"/>
    </xf>
    <xf numFmtId="0" fontId="26" fillId="0" borderId="1" xfId="0" applyFont="1" applyBorder="1" applyAlignment="1">
      <alignment horizontal="center" vertical="center"/>
    </xf>
    <xf numFmtId="0" fontId="26" fillId="11" borderId="0" xfId="0" applyFont="1" applyFill="1" applyAlignment="1">
      <alignment horizontal="center" vertical="center"/>
    </xf>
    <xf numFmtId="0" fontId="26" fillId="12" borderId="10" xfId="0" applyFont="1" applyFill="1" applyBorder="1" applyAlignment="1">
      <alignment horizontal="center" vertical="center"/>
    </xf>
    <xf numFmtId="0" fontId="26" fillId="12" borderId="3" xfId="0" applyFont="1" applyFill="1" applyBorder="1" applyAlignment="1">
      <alignment horizontal="center" vertical="center"/>
    </xf>
    <xf numFmtId="0" fontId="26" fillId="11" borderId="10" xfId="0" applyFont="1" applyFill="1" applyBorder="1" applyAlignment="1">
      <alignment vertical="center" wrapText="1"/>
    </xf>
    <xf numFmtId="0" fontId="26" fillId="11" borderId="10" xfId="0" applyFont="1" applyFill="1" applyBorder="1" applyAlignment="1">
      <alignment horizontal="center" vertical="center" wrapText="1"/>
    </xf>
    <xf numFmtId="0" fontId="26" fillId="16" borderId="10" xfId="0" applyFont="1" applyFill="1" applyBorder="1" applyAlignment="1">
      <alignment vertical="center" wrapText="1"/>
    </xf>
    <xf numFmtId="0" fontId="26" fillId="16" borderId="10" xfId="0" applyFont="1" applyFill="1" applyBorder="1" applyAlignment="1">
      <alignment horizontal="center" vertical="center" wrapText="1"/>
    </xf>
  </cellXfs>
  <cellStyles count="28">
    <cellStyle name="Excel Built-in Normal" xfId="24"/>
    <cellStyle name="Excel Built-in Normal 2" xfId="27"/>
    <cellStyle name="Millares" xfId="1" builtinId="3"/>
    <cellStyle name="Millares [0]" xfId="2" builtinId="6"/>
    <cellStyle name="Millares [0] 2" xfId="10"/>
    <cellStyle name="Millares [0] 3" xfId="8"/>
    <cellStyle name="Millares 2" xfId="6"/>
    <cellStyle name="Millares 2 2" xfId="9"/>
    <cellStyle name="Millares 2 2 2" xfId="18"/>
    <cellStyle name="Millares 2 3" xfId="16"/>
    <cellStyle name="Millares 3 2" xfId="12"/>
    <cellStyle name="Millares 3 3" xfId="21"/>
    <cellStyle name="Millares 4" xfId="7"/>
    <cellStyle name="Moneda" xfId="3" builtinId="4"/>
    <cellStyle name="Moneda [0] 2" xfId="22"/>
    <cellStyle name="Moneda [0] 2 3" xfId="14"/>
    <cellStyle name="Moneda 2" xfId="20"/>
    <cellStyle name="Moneda 3" xfId="15"/>
    <cellStyle name="Normal" xfId="0" builtinId="0"/>
    <cellStyle name="Normal 2 2" xfId="17"/>
    <cellStyle name="Normal 2 2 2" xfId="23"/>
    <cellStyle name="Normal 3 2" xfId="19"/>
    <cellStyle name="Normal 4" xfId="25"/>
    <cellStyle name="Normal 7" xfId="26"/>
    <cellStyle name="Porcentaje" xfId="4" builtinId="5"/>
    <cellStyle name="Porcentaje 2 2" xfId="5"/>
    <cellStyle name="Porcentaje 2 2 2" xfId="13"/>
    <cellStyle name="Porcentaje 2 3"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27215</xdr:colOff>
      <xdr:row>0</xdr:row>
      <xdr:rowOff>0</xdr:rowOff>
    </xdr:from>
    <xdr:to>
      <xdr:col>1</xdr:col>
      <xdr:colOff>675597</xdr:colOff>
      <xdr:row>0</xdr:row>
      <xdr:rowOff>22225</xdr:rowOff>
    </xdr:to>
    <xdr:pic>
      <xdr:nvPicPr>
        <xdr:cNvPr id="2" name="Imagen 1" descr="C:\Users\AUXPLANEACION03\Desktop\Gobernacion_del_quindio.jpg">
          <a:extLst>
            <a:ext uri="{FF2B5EF4-FFF2-40B4-BE49-F238E27FC236}">
              <a16:creationId xmlns:a16="http://schemas.microsoft.com/office/drawing/2014/main" xmlns="" id="{8C9C2E1F-9A2B-41D3-BF11-6F21FB8811B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7790" y="0"/>
          <a:ext cx="648382" cy="22225"/>
        </a:xfrm>
        <a:prstGeom prst="rect">
          <a:avLst/>
        </a:prstGeom>
        <a:noFill/>
        <a:ln>
          <a:noFill/>
        </a:ln>
      </xdr:spPr>
    </xdr:pic>
    <xdr:clientData/>
  </xdr:twoCellAnchor>
  <xdr:twoCellAnchor editAs="oneCell">
    <xdr:from>
      <xdr:col>1</xdr:col>
      <xdr:colOff>27215</xdr:colOff>
      <xdr:row>0</xdr:row>
      <xdr:rowOff>0</xdr:rowOff>
    </xdr:from>
    <xdr:to>
      <xdr:col>1</xdr:col>
      <xdr:colOff>678565</xdr:colOff>
      <xdr:row>0</xdr:row>
      <xdr:rowOff>22225</xdr:rowOff>
    </xdr:to>
    <xdr:pic>
      <xdr:nvPicPr>
        <xdr:cNvPr id="3" name="Imagen 2" descr="C:\Users\AUXPLANEACION03\Desktop\Gobernacion_del_quindio.jpg">
          <a:extLst>
            <a:ext uri="{FF2B5EF4-FFF2-40B4-BE49-F238E27FC236}">
              <a16:creationId xmlns:a16="http://schemas.microsoft.com/office/drawing/2014/main" xmlns="" id="{F6F5FCC1-1292-48D4-95DE-F9AE45173DB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7790" y="0"/>
          <a:ext cx="651350" cy="2222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27215</xdr:colOff>
      <xdr:row>0</xdr:row>
      <xdr:rowOff>0</xdr:rowOff>
    </xdr:from>
    <xdr:to>
      <xdr:col>1</xdr:col>
      <xdr:colOff>675597</xdr:colOff>
      <xdr:row>0</xdr:row>
      <xdr:rowOff>22225</xdr:rowOff>
    </xdr:to>
    <xdr:pic>
      <xdr:nvPicPr>
        <xdr:cNvPr id="2" name="Imagen 1" descr="C:\Users\AUXPLANEACION03\Desktop\Gobernacion_del_quindio.jpg">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615" y="0"/>
          <a:ext cx="648382" cy="22225"/>
        </a:xfrm>
        <a:prstGeom prst="rect">
          <a:avLst/>
        </a:prstGeom>
        <a:noFill/>
        <a:ln>
          <a:noFill/>
        </a:ln>
      </xdr:spPr>
    </xdr:pic>
    <xdr:clientData/>
  </xdr:twoCellAnchor>
  <xdr:twoCellAnchor editAs="oneCell">
    <xdr:from>
      <xdr:col>1</xdr:col>
      <xdr:colOff>27215</xdr:colOff>
      <xdr:row>0</xdr:row>
      <xdr:rowOff>0</xdr:rowOff>
    </xdr:from>
    <xdr:to>
      <xdr:col>1</xdr:col>
      <xdr:colOff>678565</xdr:colOff>
      <xdr:row>0</xdr:row>
      <xdr:rowOff>22225</xdr:rowOff>
    </xdr:to>
    <xdr:pic>
      <xdr:nvPicPr>
        <xdr:cNvPr id="3" name="Imagen 2" descr="C:\Users\AUXPLANEACION03\Desktop\Gobernacion_del_quindio.jpg">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615" y="0"/>
          <a:ext cx="651350" cy="22225"/>
        </a:xfrm>
        <a:prstGeom prst="rect">
          <a:avLst/>
        </a:prstGeom>
        <a:noFill/>
        <a:ln>
          <a:noFill/>
        </a:ln>
      </xdr:spPr>
    </xdr:pic>
    <xdr:clientData/>
  </xdr:twoCellAnchor>
  <xdr:twoCellAnchor editAs="oneCell">
    <xdr:from>
      <xdr:col>0</xdr:col>
      <xdr:colOff>484911</xdr:colOff>
      <xdr:row>0</xdr:row>
      <xdr:rowOff>0</xdr:rowOff>
    </xdr:from>
    <xdr:to>
      <xdr:col>1</xdr:col>
      <xdr:colOff>9071</xdr:colOff>
      <xdr:row>0</xdr:row>
      <xdr:rowOff>0</xdr:rowOff>
    </xdr:to>
    <xdr:pic>
      <xdr:nvPicPr>
        <xdr:cNvPr id="4" name="Imagen 3" descr="C:\Users\AUXPLANEACION03\Desktop\Gobernacion_del_quindio.jpg">
          <a:extLst>
            <a:ext uri="{FF2B5EF4-FFF2-40B4-BE49-F238E27FC236}">
              <a16:creationId xmlns=""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4911" y="0"/>
          <a:ext cx="819560" cy="0"/>
        </a:xfrm>
        <a:prstGeom prst="rect">
          <a:avLst/>
        </a:prstGeom>
        <a:noFill/>
        <a:ln>
          <a:noFill/>
        </a:ln>
      </xdr:spPr>
    </xdr:pic>
    <xdr:clientData/>
  </xdr:twoCellAnchor>
  <xdr:twoCellAnchor editAs="oneCell">
    <xdr:from>
      <xdr:col>0</xdr:col>
      <xdr:colOff>693964</xdr:colOff>
      <xdr:row>0</xdr:row>
      <xdr:rowOff>0</xdr:rowOff>
    </xdr:from>
    <xdr:to>
      <xdr:col>1</xdr:col>
      <xdr:colOff>333375</xdr:colOff>
      <xdr:row>3</xdr:row>
      <xdr:rowOff>187325</xdr:rowOff>
    </xdr:to>
    <xdr:pic>
      <xdr:nvPicPr>
        <xdr:cNvPr id="5" name="Imagen 4" descr="C:\Users\AUXPLANEACION03\Desktop\Gobernacion_del_quindio.jpg">
          <a:extLst>
            <a:ext uri="{FF2B5EF4-FFF2-40B4-BE49-F238E27FC236}">
              <a16:creationId xmlns="" xmlns:a16="http://schemas.microsoft.com/office/drawing/2014/main" id="{00000000-0008-0000-04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3964" y="0"/>
          <a:ext cx="934811" cy="1130300"/>
        </a:xfrm>
        <a:prstGeom prst="rect">
          <a:avLst/>
        </a:prstGeom>
        <a:noFill/>
        <a:ln>
          <a:noFill/>
        </a:ln>
      </xdr:spPr>
    </xdr:pic>
    <xdr:clientData/>
  </xdr:twoCellAnchor>
  <xdr:twoCellAnchor editAs="oneCell">
    <xdr:from>
      <xdr:col>0</xdr:col>
      <xdr:colOff>693964</xdr:colOff>
      <xdr:row>0</xdr:row>
      <xdr:rowOff>0</xdr:rowOff>
    </xdr:from>
    <xdr:to>
      <xdr:col>1</xdr:col>
      <xdr:colOff>330200</xdr:colOff>
      <xdr:row>3</xdr:row>
      <xdr:rowOff>190500</xdr:rowOff>
    </xdr:to>
    <xdr:pic>
      <xdr:nvPicPr>
        <xdr:cNvPr id="6" name="Imagen 5" descr="C:\Users\AUXPLANEACION03\Desktop\Gobernacion_del_quindio.jpg">
          <a:extLst>
            <a:ext uri="{FF2B5EF4-FFF2-40B4-BE49-F238E27FC236}">
              <a16:creationId xmlns="" xmlns:a16="http://schemas.microsoft.com/office/drawing/2014/main" id="{00000000-0008-0000-04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3964" y="0"/>
          <a:ext cx="931636" cy="113347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27213</xdr:colOff>
      <xdr:row>0</xdr:row>
      <xdr:rowOff>176893</xdr:rowOff>
    </xdr:from>
    <xdr:ext cx="993321" cy="925286"/>
    <xdr:pic>
      <xdr:nvPicPr>
        <xdr:cNvPr id="2" name="Imagen 1" descr="C:\Users\AUXPLANEACION03\Desktop\Gobernacion_del_quindio.jpg">
          <a:extLst>
            <a:ext uri="{FF2B5EF4-FFF2-40B4-BE49-F238E27FC236}">
              <a16:creationId xmlns="" xmlns:a16="http://schemas.microsoft.com/office/drawing/2014/main" id="{903AA8B4-69AF-4AFA-B221-CA1EB28B7C0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4963" y="176893"/>
          <a:ext cx="993321" cy="925286"/>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27215</xdr:colOff>
      <xdr:row>0</xdr:row>
      <xdr:rowOff>0</xdr:rowOff>
    </xdr:from>
    <xdr:to>
      <xdr:col>2</xdr:col>
      <xdr:colOff>326347</xdr:colOff>
      <xdr:row>0</xdr:row>
      <xdr:rowOff>22225</xdr:rowOff>
    </xdr:to>
    <xdr:pic>
      <xdr:nvPicPr>
        <xdr:cNvPr id="2" name="Imagen 1" descr="C:\Users\AUXPLANEACION03\Desktop\Gobernacion_del_quindio.jpg">
          <a:extLst>
            <a:ext uri="{FF2B5EF4-FFF2-40B4-BE49-F238E27FC236}">
              <a16:creationId xmlns="" xmlns:a16="http://schemas.microsoft.com/office/drawing/2014/main" id="{8C9C2E1F-9A2B-41D3-BF11-6F21FB8811B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390" y="0"/>
          <a:ext cx="651557" cy="22225"/>
        </a:xfrm>
        <a:prstGeom prst="rect">
          <a:avLst/>
        </a:prstGeom>
        <a:noFill/>
        <a:ln>
          <a:noFill/>
        </a:ln>
      </xdr:spPr>
    </xdr:pic>
    <xdr:clientData/>
  </xdr:twoCellAnchor>
  <xdr:twoCellAnchor editAs="oneCell">
    <xdr:from>
      <xdr:col>1</xdr:col>
      <xdr:colOff>27215</xdr:colOff>
      <xdr:row>0</xdr:row>
      <xdr:rowOff>0</xdr:rowOff>
    </xdr:from>
    <xdr:to>
      <xdr:col>2</xdr:col>
      <xdr:colOff>329315</xdr:colOff>
      <xdr:row>0</xdr:row>
      <xdr:rowOff>22225</xdr:rowOff>
    </xdr:to>
    <xdr:pic>
      <xdr:nvPicPr>
        <xdr:cNvPr id="3" name="Imagen 2" descr="C:\Users\AUXPLANEACION03\Desktop\Gobernacion_del_quindio.jpg">
          <a:extLst>
            <a:ext uri="{FF2B5EF4-FFF2-40B4-BE49-F238E27FC236}">
              <a16:creationId xmlns="" xmlns:a16="http://schemas.microsoft.com/office/drawing/2014/main" id="{F6F5FCC1-1292-48D4-95DE-F9AE45173DB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6390" y="0"/>
          <a:ext cx="654525" cy="22225"/>
        </a:xfrm>
        <a:prstGeom prst="rect">
          <a:avLst/>
        </a:prstGeom>
        <a:noFill/>
        <a:ln>
          <a:noFill/>
        </a:ln>
      </xdr:spPr>
    </xdr:pic>
    <xdr:clientData/>
  </xdr:twoCellAnchor>
  <xdr:twoCellAnchor editAs="oneCell">
    <xdr:from>
      <xdr:col>0</xdr:col>
      <xdr:colOff>484911</xdr:colOff>
      <xdr:row>0</xdr:row>
      <xdr:rowOff>0</xdr:rowOff>
    </xdr:from>
    <xdr:to>
      <xdr:col>1</xdr:col>
      <xdr:colOff>294821</xdr:colOff>
      <xdr:row>0</xdr:row>
      <xdr:rowOff>0</xdr:rowOff>
    </xdr:to>
    <xdr:pic>
      <xdr:nvPicPr>
        <xdr:cNvPr id="4" name="Imagen 3" descr="C:\Users\AUXPLANEACION03\Desktop\Gobernacion_del_quindio.jpg">
          <a:extLst>
            <a:ext uri="{FF2B5EF4-FFF2-40B4-BE49-F238E27FC236}">
              <a16:creationId xmlns="" xmlns:a16="http://schemas.microsoft.com/office/drawing/2014/main" id="{9A4C05E4-9EA1-4FF8-8AC8-803ADC88D44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4911" y="0"/>
          <a:ext cx="829085" cy="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27215</xdr:colOff>
      <xdr:row>0</xdr:row>
      <xdr:rowOff>0</xdr:rowOff>
    </xdr:from>
    <xdr:to>
      <xdr:col>1</xdr:col>
      <xdr:colOff>675597</xdr:colOff>
      <xdr:row>0</xdr:row>
      <xdr:rowOff>22225</xdr:rowOff>
    </xdr:to>
    <xdr:pic>
      <xdr:nvPicPr>
        <xdr:cNvPr id="2" name="Imagen 1" descr="C:\Users\AUXPLANEACION03\Desktop\Gobernacion_del_quindio.jpg">
          <a:extLst>
            <a:ext uri="{FF2B5EF4-FFF2-40B4-BE49-F238E27FC236}">
              <a16:creationId xmlns:a16="http://schemas.microsoft.com/office/drawing/2014/main" xmlns="" id="{8C9C2E1F-9A2B-41D3-BF11-6F21FB8811B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7340" y="0"/>
          <a:ext cx="648382" cy="22225"/>
        </a:xfrm>
        <a:prstGeom prst="rect">
          <a:avLst/>
        </a:prstGeom>
        <a:noFill/>
        <a:ln>
          <a:noFill/>
        </a:ln>
      </xdr:spPr>
    </xdr:pic>
    <xdr:clientData/>
  </xdr:twoCellAnchor>
  <xdr:twoCellAnchor editAs="oneCell">
    <xdr:from>
      <xdr:col>1</xdr:col>
      <xdr:colOff>27215</xdr:colOff>
      <xdr:row>0</xdr:row>
      <xdr:rowOff>0</xdr:rowOff>
    </xdr:from>
    <xdr:to>
      <xdr:col>1</xdr:col>
      <xdr:colOff>678565</xdr:colOff>
      <xdr:row>0</xdr:row>
      <xdr:rowOff>22225</xdr:rowOff>
    </xdr:to>
    <xdr:pic>
      <xdr:nvPicPr>
        <xdr:cNvPr id="3" name="Imagen 2" descr="C:\Users\AUXPLANEACION03\Desktop\Gobernacion_del_quindio.jpg">
          <a:extLst>
            <a:ext uri="{FF2B5EF4-FFF2-40B4-BE49-F238E27FC236}">
              <a16:creationId xmlns:a16="http://schemas.microsoft.com/office/drawing/2014/main" xmlns="" id="{F6F5FCC1-1292-48D4-95DE-F9AE45173DB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7340" y="0"/>
          <a:ext cx="651350" cy="22225"/>
        </a:xfrm>
        <a:prstGeom prst="rect">
          <a:avLst/>
        </a:prstGeom>
        <a:noFill/>
        <a:ln>
          <a:noFill/>
        </a:ln>
      </xdr:spPr>
    </xdr:pic>
    <xdr:clientData/>
  </xdr:twoCellAnchor>
  <xdr:twoCellAnchor editAs="oneCell">
    <xdr:from>
      <xdr:col>0</xdr:col>
      <xdr:colOff>484911</xdr:colOff>
      <xdr:row>0</xdr:row>
      <xdr:rowOff>86591</xdr:rowOff>
    </xdr:from>
    <xdr:to>
      <xdr:col>1</xdr:col>
      <xdr:colOff>310696</xdr:colOff>
      <xdr:row>0</xdr:row>
      <xdr:rowOff>86591</xdr:rowOff>
    </xdr:to>
    <xdr:pic>
      <xdr:nvPicPr>
        <xdr:cNvPr id="4" name="Imagen 3" descr="C:\Users\AUXPLANEACION03\Desktop\Gobernacion_del_quindio.jpg">
          <a:extLst>
            <a:ext uri="{FF2B5EF4-FFF2-40B4-BE49-F238E27FC236}">
              <a16:creationId xmlns:a16="http://schemas.microsoft.com/office/drawing/2014/main" xmlns="" id="{9A4C05E4-9EA1-4FF8-8AC8-803ADC88D44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4911" y="86591"/>
          <a:ext cx="825910" cy="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27215</xdr:colOff>
      <xdr:row>0</xdr:row>
      <xdr:rowOff>0</xdr:rowOff>
    </xdr:from>
    <xdr:to>
      <xdr:col>1</xdr:col>
      <xdr:colOff>675597</xdr:colOff>
      <xdr:row>0</xdr:row>
      <xdr:rowOff>22225</xdr:rowOff>
    </xdr:to>
    <xdr:pic>
      <xdr:nvPicPr>
        <xdr:cNvPr id="2" name="Imagen 1" descr="C:\Users\AUXPLANEACION03\Desktop\Gobernacion_del_quindio.jpg">
          <a:extLst>
            <a:ext uri="{FF2B5EF4-FFF2-40B4-BE49-F238E27FC236}">
              <a16:creationId xmlns="" xmlns:a16="http://schemas.microsoft.com/office/drawing/2014/main" id="{8C9C2E1F-9A2B-41D3-BF11-6F21FB8811B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9340" y="0"/>
          <a:ext cx="648382" cy="22225"/>
        </a:xfrm>
        <a:prstGeom prst="rect">
          <a:avLst/>
        </a:prstGeom>
        <a:noFill/>
        <a:ln>
          <a:noFill/>
        </a:ln>
      </xdr:spPr>
    </xdr:pic>
    <xdr:clientData/>
  </xdr:twoCellAnchor>
  <xdr:twoCellAnchor editAs="oneCell">
    <xdr:from>
      <xdr:col>1</xdr:col>
      <xdr:colOff>27215</xdr:colOff>
      <xdr:row>0</xdr:row>
      <xdr:rowOff>0</xdr:rowOff>
    </xdr:from>
    <xdr:to>
      <xdr:col>1</xdr:col>
      <xdr:colOff>678565</xdr:colOff>
      <xdr:row>0</xdr:row>
      <xdr:rowOff>22225</xdr:rowOff>
    </xdr:to>
    <xdr:pic>
      <xdr:nvPicPr>
        <xdr:cNvPr id="3" name="Imagen 2" descr="C:\Users\AUXPLANEACION03\Desktop\Gobernacion_del_quindio.jpg">
          <a:extLst>
            <a:ext uri="{FF2B5EF4-FFF2-40B4-BE49-F238E27FC236}">
              <a16:creationId xmlns="" xmlns:a16="http://schemas.microsoft.com/office/drawing/2014/main" id="{F6F5FCC1-1292-48D4-95DE-F9AE45173DB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9340" y="0"/>
          <a:ext cx="651350" cy="222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27215</xdr:colOff>
      <xdr:row>0</xdr:row>
      <xdr:rowOff>0</xdr:rowOff>
    </xdr:from>
    <xdr:to>
      <xdr:col>2</xdr:col>
      <xdr:colOff>310472</xdr:colOff>
      <xdr:row>0</xdr:row>
      <xdr:rowOff>22225</xdr:rowOff>
    </xdr:to>
    <xdr:pic>
      <xdr:nvPicPr>
        <xdr:cNvPr id="2" name="Imagen 1" descr="C:\Users\AUXPLANEACION03\Desktop\Gobernacion_del_quindio.jpg">
          <a:extLst>
            <a:ext uri="{FF2B5EF4-FFF2-40B4-BE49-F238E27FC236}">
              <a16:creationId xmlns="" xmlns:a16="http://schemas.microsoft.com/office/drawing/2014/main" id="{8C9C2E1F-9A2B-41D3-BF11-6F21FB8811B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2565" y="0"/>
          <a:ext cx="645207" cy="22225"/>
        </a:xfrm>
        <a:prstGeom prst="rect">
          <a:avLst/>
        </a:prstGeom>
        <a:noFill/>
        <a:ln>
          <a:noFill/>
        </a:ln>
      </xdr:spPr>
    </xdr:pic>
    <xdr:clientData/>
  </xdr:twoCellAnchor>
  <xdr:twoCellAnchor editAs="oneCell">
    <xdr:from>
      <xdr:col>1</xdr:col>
      <xdr:colOff>27215</xdr:colOff>
      <xdr:row>0</xdr:row>
      <xdr:rowOff>0</xdr:rowOff>
    </xdr:from>
    <xdr:to>
      <xdr:col>2</xdr:col>
      <xdr:colOff>313440</xdr:colOff>
      <xdr:row>0</xdr:row>
      <xdr:rowOff>22225</xdr:rowOff>
    </xdr:to>
    <xdr:pic>
      <xdr:nvPicPr>
        <xdr:cNvPr id="3" name="Imagen 2" descr="C:\Users\AUXPLANEACION03\Desktop\Gobernacion_del_quindio.jpg">
          <a:extLst>
            <a:ext uri="{FF2B5EF4-FFF2-40B4-BE49-F238E27FC236}">
              <a16:creationId xmlns="" xmlns:a16="http://schemas.microsoft.com/office/drawing/2014/main" id="{F6F5FCC1-1292-48D4-95DE-F9AE45173DB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2565" y="0"/>
          <a:ext cx="648175" cy="222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1150711</xdr:colOff>
      <xdr:row>2</xdr:row>
      <xdr:rowOff>119422</xdr:rowOff>
    </xdr:to>
    <xdr:pic>
      <xdr:nvPicPr>
        <xdr:cNvPr id="2" name="Imagen 1" descr="C:\Users\AUXPLANEACION03\Desktop\Gobernacion_del_quindio.jpg">
          <a:extLst>
            <a:ext uri="{FF2B5EF4-FFF2-40B4-BE49-F238E27FC236}">
              <a16:creationId xmlns="" xmlns:a16="http://schemas.microsoft.com/office/drawing/2014/main" id="{0F0A6B15-2BDE-4229-B242-89FFE264C4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 y="0"/>
          <a:ext cx="1150711" cy="5385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27215</xdr:colOff>
      <xdr:row>0</xdr:row>
      <xdr:rowOff>0</xdr:rowOff>
    </xdr:from>
    <xdr:to>
      <xdr:col>2</xdr:col>
      <xdr:colOff>183472</xdr:colOff>
      <xdr:row>0</xdr:row>
      <xdr:rowOff>22225</xdr:rowOff>
    </xdr:to>
    <xdr:pic>
      <xdr:nvPicPr>
        <xdr:cNvPr id="2" name="Imagen 1" descr="C:\Users\AUXPLANEACION03\Desktop\Gobernacion_del_quindio.jpg">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0665" y="0"/>
          <a:ext cx="651557" cy="22225"/>
        </a:xfrm>
        <a:prstGeom prst="rect">
          <a:avLst/>
        </a:prstGeom>
        <a:noFill/>
        <a:ln>
          <a:noFill/>
        </a:ln>
      </xdr:spPr>
    </xdr:pic>
    <xdr:clientData/>
  </xdr:twoCellAnchor>
  <xdr:twoCellAnchor editAs="oneCell">
    <xdr:from>
      <xdr:col>1</xdr:col>
      <xdr:colOff>27215</xdr:colOff>
      <xdr:row>0</xdr:row>
      <xdr:rowOff>0</xdr:rowOff>
    </xdr:from>
    <xdr:to>
      <xdr:col>2</xdr:col>
      <xdr:colOff>186440</xdr:colOff>
      <xdr:row>0</xdr:row>
      <xdr:rowOff>22225</xdr:rowOff>
    </xdr:to>
    <xdr:pic>
      <xdr:nvPicPr>
        <xdr:cNvPr id="3" name="Imagen 2" descr="C:\Users\AUXPLANEACION03\Desktop\Gobernacion_del_quindio.jpg">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0665" y="0"/>
          <a:ext cx="654525" cy="22225"/>
        </a:xfrm>
        <a:prstGeom prst="rect">
          <a:avLst/>
        </a:prstGeom>
        <a:noFill/>
        <a:ln>
          <a:noFill/>
        </a:ln>
      </xdr:spPr>
    </xdr:pic>
    <xdr:clientData/>
  </xdr:twoCellAnchor>
  <xdr:twoCellAnchor editAs="oneCell">
    <xdr:from>
      <xdr:col>0</xdr:col>
      <xdr:colOff>484911</xdr:colOff>
      <xdr:row>0</xdr:row>
      <xdr:rowOff>0</xdr:rowOff>
    </xdr:from>
    <xdr:to>
      <xdr:col>1</xdr:col>
      <xdr:colOff>383721</xdr:colOff>
      <xdr:row>0</xdr:row>
      <xdr:rowOff>0</xdr:rowOff>
    </xdr:to>
    <xdr:pic>
      <xdr:nvPicPr>
        <xdr:cNvPr id="4" name="Imagen 3" descr="C:\Users\AUXPLANEACION03\Desktop\Gobernacion_del_quindio.jpg">
          <a:extLst>
            <a:ext uri="{FF2B5EF4-FFF2-40B4-BE49-F238E27FC236}">
              <a16:creationId xmlns:a16="http://schemas.microsoft.com/office/drawing/2014/main" xmlns=""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4911" y="0"/>
          <a:ext cx="832260" cy="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8163</xdr:colOff>
      <xdr:row>0</xdr:row>
      <xdr:rowOff>119743</xdr:rowOff>
    </xdr:from>
    <xdr:ext cx="993321" cy="925286"/>
    <xdr:pic>
      <xdr:nvPicPr>
        <xdr:cNvPr id="2" name="Imagen 1" descr="C:\Users\AUXPLANEACION03\Desktop\Gobernacion_del_quindio.jpg">
          <a:extLst>
            <a:ext uri="{FF2B5EF4-FFF2-40B4-BE49-F238E27FC236}">
              <a16:creationId xmlns="" xmlns:a16="http://schemas.microsoft.com/office/drawing/2014/main" id="{EED3B9DC-073D-478E-9EDB-20C251211F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5888" y="119743"/>
          <a:ext cx="993321" cy="925286"/>
        </a:xfrm>
        <a:prstGeom prst="rect">
          <a:avLst/>
        </a:prstGeom>
        <a:noFill/>
        <a:ln>
          <a:noFill/>
        </a:ln>
      </xdr:spPr>
    </xdr:pic>
    <xdr:clientData/>
  </xdr:oneCellAnchor>
  <xdr:twoCellAnchor editAs="oneCell">
    <xdr:from>
      <xdr:col>1</xdr:col>
      <xdr:colOff>27215</xdr:colOff>
      <xdr:row>0</xdr:row>
      <xdr:rowOff>204108</xdr:rowOff>
    </xdr:from>
    <xdr:to>
      <xdr:col>2</xdr:col>
      <xdr:colOff>363869</xdr:colOff>
      <xdr:row>1</xdr:row>
      <xdr:rowOff>4083</xdr:rowOff>
    </xdr:to>
    <xdr:pic>
      <xdr:nvPicPr>
        <xdr:cNvPr id="3" name="Imagen 2" descr="C:\Users\AUXPLANEACION03\Desktop\Gobernacion_del_quindio.jpg">
          <a:extLst>
            <a:ext uri="{FF2B5EF4-FFF2-40B4-BE49-F238E27FC236}">
              <a16:creationId xmlns="" xmlns:a16="http://schemas.microsoft.com/office/drawing/2014/main" id="{69023730-0D35-4FD2-873E-55C7B7ED31E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4940" y="194583"/>
          <a:ext cx="650979" cy="0"/>
        </a:xfrm>
        <a:prstGeom prst="rect">
          <a:avLst/>
        </a:prstGeom>
        <a:noFill/>
        <a:ln>
          <a:noFill/>
        </a:ln>
      </xdr:spPr>
    </xdr:pic>
    <xdr:clientData/>
  </xdr:twoCellAnchor>
  <xdr:twoCellAnchor editAs="oneCell">
    <xdr:from>
      <xdr:col>1</xdr:col>
      <xdr:colOff>27215</xdr:colOff>
      <xdr:row>0</xdr:row>
      <xdr:rowOff>204108</xdr:rowOff>
    </xdr:from>
    <xdr:to>
      <xdr:col>2</xdr:col>
      <xdr:colOff>357808</xdr:colOff>
      <xdr:row>1</xdr:row>
      <xdr:rowOff>4083</xdr:rowOff>
    </xdr:to>
    <xdr:pic>
      <xdr:nvPicPr>
        <xdr:cNvPr id="4" name="Imagen 3" descr="C:\Users\AUXPLANEACION03\Desktop\Gobernacion_del_quindio.jpg">
          <a:extLst>
            <a:ext uri="{FF2B5EF4-FFF2-40B4-BE49-F238E27FC236}">
              <a16:creationId xmlns="" xmlns:a16="http://schemas.microsoft.com/office/drawing/2014/main" id="{7A4DDF32-C8E1-4FD0-BBFB-2A3E51943DC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4940" y="194583"/>
          <a:ext cx="644918" cy="0"/>
        </a:xfrm>
        <a:prstGeom prst="rect">
          <a:avLst/>
        </a:prstGeom>
        <a:noFill/>
        <a:ln>
          <a:noFill/>
        </a:ln>
      </xdr:spPr>
    </xdr:pic>
    <xdr:clientData/>
  </xdr:twoCellAnchor>
  <xdr:twoCellAnchor editAs="oneCell">
    <xdr:from>
      <xdr:col>1</xdr:col>
      <xdr:colOff>27215</xdr:colOff>
      <xdr:row>0</xdr:row>
      <xdr:rowOff>204108</xdr:rowOff>
    </xdr:from>
    <xdr:to>
      <xdr:col>2</xdr:col>
      <xdr:colOff>360776</xdr:colOff>
      <xdr:row>1</xdr:row>
      <xdr:rowOff>4083</xdr:rowOff>
    </xdr:to>
    <xdr:pic>
      <xdr:nvPicPr>
        <xdr:cNvPr id="5" name="Imagen 4" descr="C:\Users\AUXPLANEACION03\Desktop\Gobernacion_del_quindio.jpg">
          <a:extLst>
            <a:ext uri="{FF2B5EF4-FFF2-40B4-BE49-F238E27FC236}">
              <a16:creationId xmlns="" xmlns:a16="http://schemas.microsoft.com/office/drawing/2014/main" id="{4471F61C-6925-4EFE-8644-2F86C42510E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4940" y="194583"/>
          <a:ext cx="647886" cy="0"/>
        </a:xfrm>
        <a:prstGeom prst="rect">
          <a:avLst/>
        </a:prstGeom>
        <a:noFill/>
        <a:ln>
          <a:noFill/>
        </a:ln>
      </xdr:spPr>
    </xdr:pic>
    <xdr:clientData/>
  </xdr:twoCellAnchor>
  <xdr:oneCellAnchor>
    <xdr:from>
      <xdr:col>1</xdr:col>
      <xdr:colOff>27213</xdr:colOff>
      <xdr:row>0</xdr:row>
      <xdr:rowOff>176893</xdr:rowOff>
    </xdr:from>
    <xdr:ext cx="993321" cy="925286"/>
    <xdr:pic>
      <xdr:nvPicPr>
        <xdr:cNvPr id="6" name="Imagen 5" descr="C:\Users\AUXPLANEACION03\Desktop\Gobernacion_del_quindio.jpg">
          <a:extLst>
            <a:ext uri="{FF2B5EF4-FFF2-40B4-BE49-F238E27FC236}">
              <a16:creationId xmlns="" xmlns:a16="http://schemas.microsoft.com/office/drawing/2014/main" id="{32A59B47-BCCF-446B-8F70-71347D08CD2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4938" y="176893"/>
          <a:ext cx="993321" cy="925286"/>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361951</xdr:colOff>
      <xdr:row>0</xdr:row>
      <xdr:rowOff>0</xdr:rowOff>
    </xdr:from>
    <xdr:to>
      <xdr:col>2</xdr:col>
      <xdr:colOff>41577</xdr:colOff>
      <xdr:row>3</xdr:row>
      <xdr:rowOff>15875</xdr:rowOff>
    </xdr:to>
    <xdr:pic>
      <xdr:nvPicPr>
        <xdr:cNvPr id="2" name="Imagen 1" descr="C:\Users\AUXPLANEACION03\Desktop\Gobernacion_del_quindio.jpg">
          <a:extLst>
            <a:ext uri="{FF2B5EF4-FFF2-40B4-BE49-F238E27FC236}">
              <a16:creationId xmlns:a16="http://schemas.microsoft.com/office/drawing/2014/main" xmlns="" id="{FBB3F3E2-EA17-4B74-A586-EEDFAE0396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1" y="0"/>
          <a:ext cx="803576" cy="58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BERNACION%20QUINDIO%202019/SEGUIMIENTO%20PDD%202019/I%20TRIMESTRE%202019/I%20TRIMESTRE%20MARZO%202019/SECRETARIAS%20I%20TRIMESTRE%202019/Promotora%20Sgto%20marzo%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Users\DIEGO%20RAMIREZ\Dropbox\Edades_Simples_1985-20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OBERNACION%20QUINDIO%202019/SEGUIMIENTO%20PDD%202019/I%20TRIMESTRE%202019/I%20TRIMESTRE%20MARZO%202019/SECRETARIAS%20I%20TRIMESTRE%202019/IDTQ%20Sgto%20marzo%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OBERNACION%20QUINDIO%202019/SEGUIMIENTO%20PDD%202019/I%20TRIMESTRE%202019/SGTO%20PDD%20I%20TRIMESTRE%202019/SECRETARIAS%20I%20TRIMESTRE%202019/familia%20Sgto%20marz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SGTO MARZO 31 2019"/>
      <sheetName val="Metas y Proyectos"/>
      <sheetName val="Plan de Acción"/>
      <sheetName val="Seguimiento P.A."/>
      <sheetName val="Inversión Mpios"/>
      <sheetName val="Gestión Recursos"/>
      <sheetName val="POAI"/>
    </sheetNames>
    <sheetDataSet>
      <sheetData sheetId="0" refreshError="1"/>
      <sheetData sheetId="1" refreshError="1"/>
      <sheetData sheetId="2" refreshError="1"/>
      <sheetData sheetId="3">
        <row r="19">
          <cell r="P19" t="str">
            <v>201663000-0171</v>
          </cell>
          <cell r="W19">
            <v>313916293</v>
          </cell>
        </row>
        <row r="21">
          <cell r="W21">
            <v>573181075</v>
          </cell>
        </row>
        <row r="22">
          <cell r="W22">
            <v>573181075</v>
          </cell>
        </row>
        <row r="23">
          <cell r="W23">
            <v>313660276</v>
          </cell>
        </row>
        <row r="24">
          <cell r="W24">
            <v>290660276</v>
          </cell>
        </row>
        <row r="25">
          <cell r="W25">
            <v>573181075</v>
          </cell>
        </row>
      </sheetData>
      <sheetData sheetId="4"/>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s de edad"/>
      <sheetName val="Edades simples Total"/>
      <sheetName val="Mpios creados &gt; 1985"/>
      <sheetName val="Hoja1"/>
    </sheetNames>
    <sheetDataSet>
      <sheetData sheetId="0" refreshError="1"/>
      <sheetData sheetId="1" refreshError="1"/>
      <sheetData sheetId="2" refreshError="1"/>
      <sheetData sheetId="3" refreshError="1">
        <row r="11">
          <cell r="H11">
            <v>111093.8</v>
          </cell>
        </row>
        <row r="12">
          <cell r="D12">
            <v>271068.87199999997</v>
          </cell>
          <cell r="E12">
            <v>284400.12800000003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SGTO MARZO 31 2019"/>
      <sheetName val="Metas y Proyectos"/>
      <sheetName val="Plan de Accion"/>
      <sheetName val="Seguimiento P.A."/>
      <sheetName val="Inversión Mpios"/>
      <sheetName val="Gestión Recursos"/>
    </sheetNames>
    <sheetDataSet>
      <sheetData sheetId="0"/>
      <sheetData sheetId="1">
        <row r="16">
          <cell r="O16">
            <v>476000000</v>
          </cell>
        </row>
        <row r="17">
          <cell r="O17">
            <v>100000000</v>
          </cell>
        </row>
        <row r="18">
          <cell r="O18">
            <v>14800000</v>
          </cell>
        </row>
        <row r="19">
          <cell r="O19">
            <v>6200000</v>
          </cell>
        </row>
        <row r="20">
          <cell r="O20">
            <v>9200000</v>
          </cell>
        </row>
        <row r="21">
          <cell r="O21">
            <v>800000</v>
          </cell>
        </row>
      </sheetData>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I MARZO 31 2019"/>
      <sheetName val="Metas y Proyectos"/>
      <sheetName val="Plan de Accion"/>
      <sheetName val="Seguimiento Plan de Accion"/>
      <sheetName val="Inversion entes territor"/>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1"/>
  <sheetViews>
    <sheetView showGridLines="0" topLeftCell="I22" zoomScale="70" zoomScaleNormal="70" workbookViewId="0">
      <selection activeCell="Q26" sqref="Q22:Q26"/>
    </sheetView>
  </sheetViews>
  <sheetFormatPr baseColWidth="10" defaultColWidth="11.42578125" defaultRowHeight="15" x14ac:dyDescent="0.2"/>
  <cols>
    <col min="1" max="1" width="16.140625" style="2" customWidth="1"/>
    <col min="2" max="2" width="14" style="2" customWidth="1"/>
    <col min="3" max="3" width="12.85546875" style="2" customWidth="1"/>
    <col min="4" max="4" width="17.7109375" style="2" customWidth="1"/>
    <col min="5" max="5" width="7.5703125" style="2" customWidth="1"/>
    <col min="6" max="6" width="15.42578125" style="2" customWidth="1"/>
    <col min="7" max="7" width="13" style="2" bestFit="1" customWidth="1"/>
    <col min="8" max="8" width="73.28515625" style="2" bestFit="1" customWidth="1"/>
    <col min="9" max="9" width="6.7109375" style="2" customWidth="1"/>
    <col min="10" max="10" width="19" style="152" customWidth="1"/>
    <col min="11" max="11" width="45.140625" style="152" customWidth="1"/>
    <col min="12" max="12" width="32.85546875" style="152" customWidth="1"/>
    <col min="13" max="13" width="21.28515625" style="152" customWidth="1"/>
    <col min="14" max="14" width="35.5703125" style="152" customWidth="1"/>
    <col min="15" max="15" width="21.85546875" style="152" customWidth="1"/>
    <col min="16" max="16" width="32" style="152" customWidth="1"/>
    <col min="17" max="17" width="13.28515625" style="153" customWidth="1"/>
    <col min="18" max="18" width="27.85546875" style="152" customWidth="1"/>
    <col min="19" max="19" width="38.140625" style="152" customWidth="1"/>
    <col min="20" max="20" width="49.140625" style="152" customWidth="1"/>
    <col min="21" max="21" width="47" style="152" customWidth="1"/>
    <col min="22" max="22" width="28.7109375" style="2" customWidth="1"/>
    <col min="23" max="23" width="13.28515625" style="2" customWidth="1"/>
    <col min="24" max="24" width="34.7109375" style="2" bestFit="1" customWidth="1"/>
    <col min="25" max="26" width="11" style="2" bestFit="1" customWidth="1"/>
    <col min="27" max="27" width="9.5703125" style="2" bestFit="1" customWidth="1"/>
    <col min="28" max="28" width="8.7109375" style="2" bestFit="1" customWidth="1"/>
    <col min="29" max="29" width="9.5703125" style="2" customWidth="1"/>
    <col min="30" max="30" width="9" style="2" bestFit="1" customWidth="1"/>
    <col min="31" max="31" width="7.28515625" style="2" bestFit="1" customWidth="1"/>
    <col min="32" max="32" width="8.28515625" style="2" bestFit="1" customWidth="1"/>
    <col min="33" max="36" width="6.42578125" style="2" customWidth="1"/>
    <col min="37" max="37" width="8.7109375" style="2" bestFit="1" customWidth="1"/>
    <col min="38" max="39" width="9" style="2" bestFit="1" customWidth="1"/>
    <col min="40" max="40" width="13.5703125" style="2" customWidth="1"/>
    <col min="41" max="41" width="18.42578125" style="2" customWidth="1"/>
    <col min="42" max="42" width="22.85546875" style="2" customWidth="1"/>
    <col min="43" max="43" width="28" style="2" customWidth="1"/>
    <col min="44" max="44" width="22.5703125" style="2" customWidth="1"/>
    <col min="45" max="16384" width="11.42578125" style="2"/>
  </cols>
  <sheetData>
    <row r="1" spans="1:44" ht="15" customHeight="1" x14ac:dyDescent="0.2">
      <c r="A1" s="2505" t="s">
        <v>0</v>
      </c>
      <c r="B1" s="2505"/>
      <c r="C1" s="2505"/>
      <c r="D1" s="2505"/>
      <c r="E1" s="2505"/>
      <c r="F1" s="2505"/>
      <c r="G1" s="2505"/>
      <c r="H1" s="2505"/>
      <c r="I1" s="2505"/>
      <c r="J1" s="2505"/>
      <c r="K1" s="2505"/>
      <c r="L1" s="2505"/>
      <c r="M1" s="2505"/>
      <c r="N1" s="2505"/>
      <c r="O1" s="2505"/>
      <c r="P1" s="2505"/>
      <c r="Q1" s="2505"/>
      <c r="R1" s="2505"/>
      <c r="S1" s="2505"/>
      <c r="T1" s="2505"/>
      <c r="U1" s="2505"/>
      <c r="V1" s="2505"/>
      <c r="W1" s="2505"/>
      <c r="X1" s="2505"/>
      <c r="Y1" s="2505"/>
      <c r="Z1" s="2505"/>
      <c r="AA1" s="2505"/>
      <c r="AB1" s="2505"/>
      <c r="AC1" s="2505"/>
      <c r="AD1" s="2505"/>
      <c r="AE1" s="2505"/>
      <c r="AF1" s="2505"/>
      <c r="AG1" s="2505"/>
      <c r="AH1" s="2505"/>
      <c r="AI1" s="2505"/>
      <c r="AJ1" s="2505"/>
      <c r="AK1" s="2505"/>
      <c r="AL1" s="2505"/>
      <c r="AM1" s="2505"/>
      <c r="AN1" s="2505"/>
      <c r="AO1" s="2505"/>
      <c r="AP1" s="1" t="s">
        <v>1</v>
      </c>
      <c r="AQ1" s="1" t="s">
        <v>2</v>
      </c>
    </row>
    <row r="2" spans="1:44" x14ac:dyDescent="0.2">
      <c r="A2" s="2505"/>
      <c r="B2" s="2505"/>
      <c r="C2" s="2505"/>
      <c r="D2" s="2505"/>
      <c r="E2" s="2505"/>
      <c r="F2" s="2505"/>
      <c r="G2" s="2505"/>
      <c r="H2" s="2505"/>
      <c r="I2" s="2505"/>
      <c r="J2" s="2505"/>
      <c r="K2" s="2505"/>
      <c r="L2" s="2505"/>
      <c r="M2" s="2505"/>
      <c r="N2" s="2505"/>
      <c r="O2" s="2505"/>
      <c r="P2" s="2505"/>
      <c r="Q2" s="2505"/>
      <c r="R2" s="2505"/>
      <c r="S2" s="2505"/>
      <c r="T2" s="2505"/>
      <c r="U2" s="2505"/>
      <c r="V2" s="2505"/>
      <c r="W2" s="2505"/>
      <c r="X2" s="2505"/>
      <c r="Y2" s="2505"/>
      <c r="Z2" s="2505"/>
      <c r="AA2" s="2505"/>
      <c r="AB2" s="2505"/>
      <c r="AC2" s="2505"/>
      <c r="AD2" s="2505"/>
      <c r="AE2" s="2505"/>
      <c r="AF2" s="2505"/>
      <c r="AG2" s="2505"/>
      <c r="AH2" s="2505"/>
      <c r="AI2" s="2505"/>
      <c r="AJ2" s="2505"/>
      <c r="AK2" s="2505"/>
      <c r="AL2" s="2505"/>
      <c r="AM2" s="2505"/>
      <c r="AN2" s="2505"/>
      <c r="AO2" s="2505"/>
      <c r="AP2" s="3" t="s">
        <v>3</v>
      </c>
      <c r="AQ2" s="4" t="s">
        <v>4</v>
      </c>
    </row>
    <row r="3" spans="1:44" ht="15" customHeight="1" x14ac:dyDescent="0.2">
      <c r="A3" s="2505"/>
      <c r="B3" s="2505"/>
      <c r="C3" s="2505"/>
      <c r="D3" s="2505"/>
      <c r="E3" s="2505"/>
      <c r="F3" s="2505"/>
      <c r="G3" s="2505"/>
      <c r="H3" s="2505"/>
      <c r="I3" s="2505"/>
      <c r="J3" s="2505"/>
      <c r="K3" s="2505"/>
      <c r="L3" s="2505"/>
      <c r="M3" s="2505"/>
      <c r="N3" s="2505"/>
      <c r="O3" s="2505"/>
      <c r="P3" s="2505"/>
      <c r="Q3" s="2505"/>
      <c r="R3" s="2505"/>
      <c r="S3" s="2505"/>
      <c r="T3" s="2505"/>
      <c r="U3" s="2505"/>
      <c r="V3" s="2505"/>
      <c r="W3" s="2505"/>
      <c r="X3" s="2505"/>
      <c r="Y3" s="2505"/>
      <c r="Z3" s="2505"/>
      <c r="AA3" s="2505"/>
      <c r="AB3" s="2505"/>
      <c r="AC3" s="2505"/>
      <c r="AD3" s="2505"/>
      <c r="AE3" s="2505"/>
      <c r="AF3" s="2505"/>
      <c r="AG3" s="2505"/>
      <c r="AH3" s="2505"/>
      <c r="AI3" s="2505"/>
      <c r="AJ3" s="2505"/>
      <c r="AK3" s="2505"/>
      <c r="AL3" s="2505"/>
      <c r="AM3" s="2505"/>
      <c r="AN3" s="2505"/>
      <c r="AO3" s="2505"/>
      <c r="AP3" s="1" t="s">
        <v>5</v>
      </c>
      <c r="AQ3" s="5" t="s">
        <v>6</v>
      </c>
    </row>
    <row r="4" spans="1:44" x14ac:dyDescent="0.2">
      <c r="A4" s="2506"/>
      <c r="B4" s="2506"/>
      <c r="C4" s="2506"/>
      <c r="D4" s="2506"/>
      <c r="E4" s="2506"/>
      <c r="F4" s="2506"/>
      <c r="G4" s="2506"/>
      <c r="H4" s="2506"/>
      <c r="I4" s="2506"/>
      <c r="J4" s="2506"/>
      <c r="K4" s="2506"/>
      <c r="L4" s="2506"/>
      <c r="M4" s="2506"/>
      <c r="N4" s="2506"/>
      <c r="O4" s="2506"/>
      <c r="P4" s="2506"/>
      <c r="Q4" s="2506"/>
      <c r="R4" s="2506"/>
      <c r="S4" s="2506"/>
      <c r="T4" s="2506"/>
      <c r="U4" s="2506"/>
      <c r="V4" s="2506"/>
      <c r="W4" s="2506"/>
      <c r="X4" s="2506"/>
      <c r="Y4" s="2506"/>
      <c r="Z4" s="2506"/>
      <c r="AA4" s="2506"/>
      <c r="AB4" s="2506"/>
      <c r="AC4" s="2506"/>
      <c r="AD4" s="2506"/>
      <c r="AE4" s="2506"/>
      <c r="AF4" s="2506"/>
      <c r="AG4" s="2506"/>
      <c r="AH4" s="2506"/>
      <c r="AI4" s="2506"/>
      <c r="AJ4" s="2506"/>
      <c r="AK4" s="2506"/>
      <c r="AL4" s="2506"/>
      <c r="AM4" s="2506"/>
      <c r="AN4" s="2506"/>
      <c r="AO4" s="2506"/>
      <c r="AP4" s="1" t="s">
        <v>7</v>
      </c>
      <c r="AQ4" s="6" t="s">
        <v>8</v>
      </c>
    </row>
    <row r="5" spans="1:44" ht="15.75" x14ac:dyDescent="0.2">
      <c r="A5" s="2507" t="s">
        <v>9</v>
      </c>
      <c r="B5" s="2507"/>
      <c r="C5" s="2507"/>
      <c r="D5" s="2507"/>
      <c r="E5" s="2507"/>
      <c r="F5" s="2507"/>
      <c r="G5" s="2507"/>
      <c r="H5" s="2507"/>
      <c r="I5" s="2507"/>
      <c r="J5" s="2507"/>
      <c r="K5" s="2507"/>
      <c r="L5" s="2507"/>
      <c r="M5" s="2507"/>
      <c r="N5" s="2509" t="s">
        <v>10</v>
      </c>
      <c r="O5" s="2509"/>
      <c r="P5" s="2509"/>
      <c r="Q5" s="2509"/>
      <c r="R5" s="2509"/>
      <c r="S5" s="2509"/>
      <c r="T5" s="2509"/>
      <c r="U5" s="2509"/>
      <c r="V5" s="2509"/>
      <c r="W5" s="2509"/>
      <c r="X5" s="2509"/>
      <c r="Y5" s="2509"/>
      <c r="Z5" s="2509"/>
      <c r="AA5" s="2509"/>
      <c r="AB5" s="2509"/>
      <c r="AC5" s="2509"/>
      <c r="AD5" s="2509"/>
      <c r="AE5" s="2509"/>
      <c r="AF5" s="2509"/>
      <c r="AG5" s="2509"/>
      <c r="AH5" s="2509"/>
      <c r="AI5" s="2509"/>
      <c r="AJ5" s="2509"/>
      <c r="AK5" s="2509"/>
      <c r="AL5" s="2509"/>
      <c r="AM5" s="2509"/>
      <c r="AN5" s="2509"/>
      <c r="AO5" s="2509"/>
      <c r="AP5" s="2509"/>
      <c r="AQ5" s="2509"/>
    </row>
    <row r="6" spans="1:44" ht="15.75" x14ac:dyDescent="0.2">
      <c r="A6" s="2508"/>
      <c r="B6" s="2508"/>
      <c r="C6" s="2508"/>
      <c r="D6" s="2508"/>
      <c r="E6" s="2508"/>
      <c r="F6" s="2508"/>
      <c r="G6" s="2508"/>
      <c r="H6" s="2508"/>
      <c r="I6" s="2508"/>
      <c r="J6" s="2508"/>
      <c r="K6" s="2508"/>
      <c r="L6" s="2508"/>
      <c r="M6" s="2508"/>
      <c r="N6" s="7"/>
      <c r="O6" s="8"/>
      <c r="P6" s="8"/>
      <c r="Q6" s="9"/>
      <c r="R6" s="8"/>
      <c r="S6" s="8"/>
      <c r="T6" s="8"/>
      <c r="U6" s="8"/>
      <c r="V6" s="10"/>
      <c r="W6" s="10"/>
      <c r="X6" s="10"/>
      <c r="Y6" s="2510" t="s">
        <v>11</v>
      </c>
      <c r="Z6" s="2508"/>
      <c r="AA6" s="2508"/>
      <c r="AB6" s="2508"/>
      <c r="AC6" s="2508"/>
      <c r="AD6" s="2508"/>
      <c r="AE6" s="2508"/>
      <c r="AF6" s="2508"/>
      <c r="AG6" s="2508"/>
      <c r="AH6" s="2508"/>
      <c r="AI6" s="2508"/>
      <c r="AJ6" s="2508"/>
      <c r="AK6" s="2508"/>
      <c r="AL6" s="2508"/>
      <c r="AM6" s="2511"/>
      <c r="AN6" s="11"/>
      <c r="AO6" s="10"/>
      <c r="AP6" s="10"/>
      <c r="AQ6" s="12"/>
    </row>
    <row r="7" spans="1:44" ht="15.95" customHeight="1" x14ac:dyDescent="0.2">
      <c r="A7" s="2512" t="s">
        <v>12</v>
      </c>
      <c r="B7" s="2501" t="s">
        <v>13</v>
      </c>
      <c r="C7" s="2499"/>
      <c r="D7" s="2499" t="s">
        <v>12</v>
      </c>
      <c r="E7" s="2501" t="s">
        <v>14</v>
      </c>
      <c r="F7" s="2499"/>
      <c r="G7" s="2499" t="s">
        <v>12</v>
      </c>
      <c r="H7" s="2501" t="s">
        <v>15</v>
      </c>
      <c r="I7" s="2499"/>
      <c r="J7" s="2499" t="s">
        <v>12</v>
      </c>
      <c r="K7" s="2501" t="s">
        <v>16</v>
      </c>
      <c r="L7" s="2503" t="s">
        <v>17</v>
      </c>
      <c r="M7" s="2503" t="s">
        <v>18</v>
      </c>
      <c r="N7" s="2503" t="s">
        <v>19</v>
      </c>
      <c r="O7" s="2503" t="s">
        <v>20</v>
      </c>
      <c r="P7" s="2503" t="s">
        <v>10</v>
      </c>
      <c r="Q7" s="2539" t="s">
        <v>21</v>
      </c>
      <c r="R7" s="2541" t="s">
        <v>22</v>
      </c>
      <c r="S7" s="2503" t="s">
        <v>23</v>
      </c>
      <c r="T7" s="2503" t="s">
        <v>24</v>
      </c>
      <c r="U7" s="2503" t="s">
        <v>25</v>
      </c>
      <c r="V7" s="2503" t="s">
        <v>22</v>
      </c>
      <c r="W7" s="13"/>
      <c r="X7" s="2503" t="s">
        <v>26</v>
      </c>
      <c r="Y7" s="2529" t="s">
        <v>27</v>
      </c>
      <c r="Z7" s="2530"/>
      <c r="AA7" s="2531" t="s">
        <v>28</v>
      </c>
      <c r="AB7" s="2532"/>
      <c r="AC7" s="2532"/>
      <c r="AD7" s="2532"/>
      <c r="AE7" s="2533" t="s">
        <v>29</v>
      </c>
      <c r="AF7" s="2534"/>
      <c r="AG7" s="2534"/>
      <c r="AH7" s="2534"/>
      <c r="AI7" s="2534"/>
      <c r="AJ7" s="2534"/>
      <c r="AK7" s="2531" t="s">
        <v>30</v>
      </c>
      <c r="AL7" s="2532"/>
      <c r="AM7" s="2532"/>
      <c r="AN7" s="2514" t="s">
        <v>31</v>
      </c>
      <c r="AO7" s="2517" t="s">
        <v>32</v>
      </c>
      <c r="AP7" s="2517" t="s">
        <v>33</v>
      </c>
      <c r="AQ7" s="2520" t="s">
        <v>34</v>
      </c>
    </row>
    <row r="8" spans="1:44" x14ac:dyDescent="0.2">
      <c r="A8" s="2513"/>
      <c r="B8" s="2502"/>
      <c r="C8" s="2500"/>
      <c r="D8" s="2500"/>
      <c r="E8" s="2502"/>
      <c r="F8" s="2500"/>
      <c r="G8" s="2500"/>
      <c r="H8" s="2502"/>
      <c r="I8" s="2500"/>
      <c r="J8" s="2500"/>
      <c r="K8" s="2502"/>
      <c r="L8" s="2504"/>
      <c r="M8" s="2504"/>
      <c r="N8" s="2504"/>
      <c r="O8" s="2504"/>
      <c r="P8" s="2504"/>
      <c r="Q8" s="2540"/>
      <c r="R8" s="2542"/>
      <c r="S8" s="2504"/>
      <c r="T8" s="2504"/>
      <c r="U8" s="2504"/>
      <c r="V8" s="2504"/>
      <c r="W8" s="2522" t="s">
        <v>12</v>
      </c>
      <c r="X8" s="2504"/>
      <c r="Y8" s="2523" t="s">
        <v>35</v>
      </c>
      <c r="Z8" s="2526" t="s">
        <v>36</v>
      </c>
      <c r="AA8" s="2523" t="s">
        <v>37</v>
      </c>
      <c r="AB8" s="2523" t="s">
        <v>38</v>
      </c>
      <c r="AC8" s="2523" t="s">
        <v>39</v>
      </c>
      <c r="AD8" s="2523" t="s">
        <v>40</v>
      </c>
      <c r="AE8" s="2523" t="s">
        <v>41</v>
      </c>
      <c r="AF8" s="2523" t="s">
        <v>42</v>
      </c>
      <c r="AG8" s="2523" t="s">
        <v>43</v>
      </c>
      <c r="AH8" s="2523" t="s">
        <v>44</v>
      </c>
      <c r="AI8" s="2523" t="s">
        <v>45</v>
      </c>
      <c r="AJ8" s="2523" t="s">
        <v>46</v>
      </c>
      <c r="AK8" s="2523" t="s">
        <v>47</v>
      </c>
      <c r="AL8" s="2523" t="s">
        <v>48</v>
      </c>
      <c r="AM8" s="2523" t="s">
        <v>49</v>
      </c>
      <c r="AN8" s="2515"/>
      <c r="AO8" s="2518"/>
      <c r="AP8" s="2518"/>
      <c r="AQ8" s="2521"/>
    </row>
    <row r="9" spans="1:44" ht="51" customHeight="1" x14ac:dyDescent="0.2">
      <c r="A9" s="2513"/>
      <c r="B9" s="2502"/>
      <c r="C9" s="2500"/>
      <c r="D9" s="2500"/>
      <c r="E9" s="2502"/>
      <c r="F9" s="2500"/>
      <c r="G9" s="2500"/>
      <c r="H9" s="2502"/>
      <c r="I9" s="2500"/>
      <c r="J9" s="2500"/>
      <c r="K9" s="2502"/>
      <c r="L9" s="2504"/>
      <c r="M9" s="2504"/>
      <c r="N9" s="2504"/>
      <c r="O9" s="2504"/>
      <c r="P9" s="2504"/>
      <c r="Q9" s="2540"/>
      <c r="R9" s="2542"/>
      <c r="S9" s="2504"/>
      <c r="T9" s="2504"/>
      <c r="U9" s="2504"/>
      <c r="V9" s="2504"/>
      <c r="W9" s="2522"/>
      <c r="X9" s="2504"/>
      <c r="Y9" s="2524"/>
      <c r="Z9" s="2527"/>
      <c r="AA9" s="2524"/>
      <c r="AB9" s="2524"/>
      <c r="AC9" s="2524"/>
      <c r="AD9" s="2524"/>
      <c r="AE9" s="2524"/>
      <c r="AF9" s="2524"/>
      <c r="AG9" s="2524"/>
      <c r="AH9" s="2524"/>
      <c r="AI9" s="2524"/>
      <c r="AJ9" s="2524"/>
      <c r="AK9" s="2524"/>
      <c r="AL9" s="2524"/>
      <c r="AM9" s="2524"/>
      <c r="AN9" s="2515"/>
      <c r="AO9" s="2518"/>
      <c r="AP9" s="2518"/>
      <c r="AQ9" s="2521"/>
    </row>
    <row r="10" spans="1:44" ht="15" customHeight="1" x14ac:dyDescent="0.2">
      <c r="A10" s="2513"/>
      <c r="B10" s="2502"/>
      <c r="C10" s="2500"/>
      <c r="D10" s="2500"/>
      <c r="E10" s="2502"/>
      <c r="F10" s="2500"/>
      <c r="G10" s="2500"/>
      <c r="H10" s="2502"/>
      <c r="I10" s="2500"/>
      <c r="J10" s="2500"/>
      <c r="K10" s="2502"/>
      <c r="L10" s="2504"/>
      <c r="M10" s="2504"/>
      <c r="N10" s="2504"/>
      <c r="O10" s="2504"/>
      <c r="P10" s="2504"/>
      <c r="Q10" s="2540"/>
      <c r="R10" s="2542"/>
      <c r="S10" s="2504"/>
      <c r="T10" s="2504"/>
      <c r="U10" s="2504"/>
      <c r="V10" s="2504"/>
      <c r="W10" s="2522"/>
      <c r="X10" s="2504"/>
      <c r="Y10" s="2524"/>
      <c r="Z10" s="2527"/>
      <c r="AA10" s="2524"/>
      <c r="AB10" s="2524"/>
      <c r="AC10" s="2524"/>
      <c r="AD10" s="2524"/>
      <c r="AE10" s="2524"/>
      <c r="AF10" s="2524"/>
      <c r="AG10" s="2524"/>
      <c r="AH10" s="2524"/>
      <c r="AI10" s="2524"/>
      <c r="AJ10" s="2524"/>
      <c r="AK10" s="2524"/>
      <c r="AL10" s="2524"/>
      <c r="AM10" s="2524"/>
      <c r="AN10" s="2515"/>
      <c r="AO10" s="2518"/>
      <c r="AP10" s="2518"/>
      <c r="AQ10" s="2521"/>
    </row>
    <row r="11" spans="1:44" ht="15" customHeight="1" x14ac:dyDescent="0.2">
      <c r="A11" s="2513"/>
      <c r="B11" s="2502"/>
      <c r="C11" s="2500"/>
      <c r="D11" s="2500"/>
      <c r="E11" s="2502"/>
      <c r="F11" s="2500"/>
      <c r="G11" s="2500"/>
      <c r="H11" s="2502"/>
      <c r="I11" s="2500"/>
      <c r="J11" s="2500"/>
      <c r="K11" s="2502"/>
      <c r="L11" s="2504"/>
      <c r="M11" s="2504"/>
      <c r="N11" s="2504"/>
      <c r="O11" s="2504"/>
      <c r="P11" s="2504"/>
      <c r="Q11" s="2540"/>
      <c r="R11" s="2542"/>
      <c r="S11" s="2504"/>
      <c r="T11" s="2504"/>
      <c r="U11" s="2504"/>
      <c r="V11" s="2504"/>
      <c r="W11" s="2522"/>
      <c r="X11" s="2504"/>
      <c r="Y11" s="2524"/>
      <c r="Z11" s="2527"/>
      <c r="AA11" s="2524"/>
      <c r="AB11" s="2524"/>
      <c r="AC11" s="2524"/>
      <c r="AD11" s="2524"/>
      <c r="AE11" s="2524"/>
      <c r="AF11" s="2524"/>
      <c r="AG11" s="2524"/>
      <c r="AH11" s="2524"/>
      <c r="AI11" s="2524"/>
      <c r="AJ11" s="2524"/>
      <c r="AK11" s="2524"/>
      <c r="AL11" s="2524"/>
      <c r="AM11" s="2524"/>
      <c r="AN11" s="2515"/>
      <c r="AO11" s="2518"/>
      <c r="AP11" s="2518"/>
      <c r="AQ11" s="2521"/>
    </row>
    <row r="12" spans="1:44" ht="26.25" customHeight="1" x14ac:dyDescent="0.2">
      <c r="A12" s="2513"/>
      <c r="B12" s="2502"/>
      <c r="C12" s="2500"/>
      <c r="D12" s="2500"/>
      <c r="E12" s="2502"/>
      <c r="F12" s="2500"/>
      <c r="G12" s="2500"/>
      <c r="H12" s="2502"/>
      <c r="I12" s="2500"/>
      <c r="J12" s="2500"/>
      <c r="K12" s="2502"/>
      <c r="L12" s="2504"/>
      <c r="M12" s="2504"/>
      <c r="N12" s="2504"/>
      <c r="O12" s="2504"/>
      <c r="P12" s="2504"/>
      <c r="Q12" s="2540"/>
      <c r="R12" s="2542"/>
      <c r="S12" s="2504"/>
      <c r="T12" s="2504"/>
      <c r="U12" s="2504"/>
      <c r="V12" s="2504"/>
      <c r="W12" s="2522"/>
      <c r="X12" s="2504"/>
      <c r="Y12" s="2525"/>
      <c r="Z12" s="2528"/>
      <c r="AA12" s="2525"/>
      <c r="AB12" s="2525"/>
      <c r="AC12" s="2525"/>
      <c r="AD12" s="2525"/>
      <c r="AE12" s="2525"/>
      <c r="AF12" s="2525"/>
      <c r="AG12" s="2525"/>
      <c r="AH12" s="2525"/>
      <c r="AI12" s="2525"/>
      <c r="AJ12" s="2525"/>
      <c r="AK12" s="2525"/>
      <c r="AL12" s="2525"/>
      <c r="AM12" s="2525"/>
      <c r="AN12" s="2516"/>
      <c r="AO12" s="2519"/>
      <c r="AP12" s="2519"/>
      <c r="AQ12" s="2521"/>
    </row>
    <row r="13" spans="1:44" ht="15.75" x14ac:dyDescent="0.2">
      <c r="A13" s="14">
        <v>5</v>
      </c>
      <c r="B13" s="15" t="s">
        <v>50</v>
      </c>
      <c r="C13" s="15"/>
      <c r="D13" s="15"/>
      <c r="E13" s="15"/>
      <c r="F13" s="15"/>
      <c r="G13" s="15"/>
      <c r="H13" s="15"/>
      <c r="I13" s="15"/>
      <c r="J13" s="16"/>
      <c r="K13" s="16"/>
      <c r="L13" s="17"/>
      <c r="M13" s="16"/>
      <c r="N13" s="16"/>
      <c r="O13" s="16"/>
      <c r="P13" s="16"/>
      <c r="Q13" s="18"/>
      <c r="R13" s="19"/>
      <c r="S13" s="16"/>
      <c r="T13" s="16"/>
      <c r="U13" s="16"/>
      <c r="V13" s="20"/>
      <c r="W13" s="21"/>
      <c r="X13" s="17"/>
      <c r="Y13" s="15"/>
      <c r="Z13" s="15"/>
      <c r="AA13" s="15"/>
      <c r="AB13" s="15"/>
      <c r="AC13" s="15"/>
      <c r="AD13" s="15"/>
      <c r="AE13" s="15"/>
      <c r="AF13" s="15"/>
      <c r="AG13" s="15"/>
      <c r="AH13" s="15"/>
      <c r="AI13" s="15"/>
      <c r="AJ13" s="15"/>
      <c r="AK13" s="15"/>
      <c r="AL13" s="15"/>
      <c r="AM13" s="15"/>
      <c r="AN13" s="15"/>
      <c r="AO13" s="22"/>
      <c r="AP13" s="22"/>
      <c r="AQ13" s="23"/>
    </row>
    <row r="14" spans="1:44" ht="15.75" x14ac:dyDescent="0.2">
      <c r="A14" s="24"/>
      <c r="B14" s="25"/>
      <c r="C14" s="26"/>
      <c r="D14" s="27">
        <v>28</v>
      </c>
      <c r="E14" s="28" t="s">
        <v>51</v>
      </c>
      <c r="F14" s="28"/>
      <c r="G14" s="28"/>
      <c r="H14" s="28"/>
      <c r="I14" s="28"/>
      <c r="J14" s="29"/>
      <c r="K14" s="29"/>
      <c r="L14" s="29"/>
      <c r="M14" s="29"/>
      <c r="N14" s="29"/>
      <c r="O14" s="29"/>
      <c r="P14" s="29"/>
      <c r="Q14" s="30"/>
      <c r="R14" s="31"/>
      <c r="S14" s="29"/>
      <c r="T14" s="29"/>
      <c r="U14" s="29"/>
      <c r="V14" s="32"/>
      <c r="W14" s="33"/>
      <c r="X14" s="34"/>
      <c r="Y14" s="28"/>
      <c r="Z14" s="28"/>
      <c r="AA14" s="28"/>
      <c r="AB14" s="28"/>
      <c r="AC14" s="28"/>
      <c r="AD14" s="28"/>
      <c r="AE14" s="28"/>
      <c r="AF14" s="28"/>
      <c r="AG14" s="28"/>
      <c r="AH14" s="28"/>
      <c r="AI14" s="28"/>
      <c r="AJ14" s="28"/>
      <c r="AK14" s="28"/>
      <c r="AL14" s="28"/>
      <c r="AM14" s="28"/>
      <c r="AN14" s="28"/>
      <c r="AO14" s="35"/>
      <c r="AP14" s="35"/>
      <c r="AQ14" s="36"/>
    </row>
    <row r="15" spans="1:44" ht="15.75" x14ac:dyDescent="0.2">
      <c r="A15" s="37"/>
      <c r="B15" s="38"/>
      <c r="C15" s="39"/>
      <c r="D15" s="40"/>
      <c r="E15" s="41"/>
      <c r="F15" s="42"/>
      <c r="G15" s="43">
        <v>89</v>
      </c>
      <c r="H15" s="44" t="s">
        <v>52</v>
      </c>
      <c r="I15" s="44"/>
      <c r="J15" s="45"/>
      <c r="K15" s="45"/>
      <c r="L15" s="45"/>
      <c r="M15" s="45"/>
      <c r="N15" s="45"/>
      <c r="O15" s="45"/>
      <c r="P15" s="45"/>
      <c r="Q15" s="46"/>
      <c r="R15" s="47"/>
      <c r="S15" s="45"/>
      <c r="T15" s="45"/>
      <c r="U15" s="45"/>
      <c r="V15" s="48"/>
      <c r="W15" s="49"/>
      <c r="X15" s="50"/>
      <c r="Y15" s="44"/>
      <c r="Z15" s="44"/>
      <c r="AA15" s="44"/>
      <c r="AB15" s="44"/>
      <c r="AC15" s="44"/>
      <c r="AD15" s="44"/>
      <c r="AE15" s="44"/>
      <c r="AF15" s="44"/>
      <c r="AG15" s="44"/>
      <c r="AH15" s="44"/>
      <c r="AI15" s="44"/>
      <c r="AJ15" s="44"/>
      <c r="AK15" s="44"/>
      <c r="AL15" s="44"/>
      <c r="AM15" s="44"/>
      <c r="AN15" s="44"/>
      <c r="AO15" s="51"/>
      <c r="AP15" s="51"/>
      <c r="AQ15" s="52"/>
    </row>
    <row r="16" spans="1:44" ht="52.5" customHeight="1" x14ac:dyDescent="0.2">
      <c r="A16" s="53"/>
      <c r="B16" s="54"/>
      <c r="C16" s="55"/>
      <c r="D16" s="56"/>
      <c r="E16" s="57"/>
      <c r="F16" s="58"/>
      <c r="G16" s="59"/>
      <c r="H16" s="60"/>
      <c r="I16" s="61"/>
      <c r="J16" s="2535">
        <v>282</v>
      </c>
      <c r="K16" s="2561" t="s">
        <v>53</v>
      </c>
      <c r="L16" s="2561" t="s">
        <v>54</v>
      </c>
      <c r="M16" s="2535">
        <v>2</v>
      </c>
      <c r="N16" s="2535" t="s">
        <v>55</v>
      </c>
      <c r="O16" s="2537" t="s">
        <v>56</v>
      </c>
      <c r="P16" s="2553" t="s">
        <v>57</v>
      </c>
      <c r="Q16" s="2555">
        <f>+(V16+V17)/R16</f>
        <v>1</v>
      </c>
      <c r="R16" s="2557">
        <f>V16+V17</f>
        <v>79500000</v>
      </c>
      <c r="S16" s="2559" t="s">
        <v>58</v>
      </c>
      <c r="T16" s="2559" t="s">
        <v>59</v>
      </c>
      <c r="U16" s="62" t="s">
        <v>60</v>
      </c>
      <c r="V16" s="63">
        <v>79500000</v>
      </c>
      <c r="W16" s="64" t="s">
        <v>61</v>
      </c>
      <c r="X16" s="65" t="s">
        <v>62</v>
      </c>
      <c r="Y16" s="2547">
        <v>292684</v>
      </c>
      <c r="Z16" s="2547">
        <v>282326</v>
      </c>
      <c r="AA16" s="2547">
        <v>135912</v>
      </c>
      <c r="AB16" s="2547">
        <v>45122</v>
      </c>
      <c r="AC16" s="2547">
        <v>307101</v>
      </c>
      <c r="AD16" s="2547">
        <v>86875</v>
      </c>
      <c r="AE16" s="2547">
        <v>2145</v>
      </c>
      <c r="AF16" s="2547">
        <v>12718</v>
      </c>
      <c r="AG16" s="2547">
        <v>26</v>
      </c>
      <c r="AH16" s="2547">
        <v>37</v>
      </c>
      <c r="AI16" s="2547">
        <v>0</v>
      </c>
      <c r="AJ16" s="2547">
        <v>0</v>
      </c>
      <c r="AK16" s="2547">
        <v>53164</v>
      </c>
      <c r="AL16" s="2547">
        <v>16982</v>
      </c>
      <c r="AM16" s="2547">
        <v>60013</v>
      </c>
      <c r="AN16" s="2547">
        <v>575010</v>
      </c>
      <c r="AO16" s="2543">
        <v>43467</v>
      </c>
      <c r="AP16" s="2543">
        <v>43830</v>
      </c>
      <c r="AQ16" s="2545" t="s">
        <v>63</v>
      </c>
      <c r="AR16" s="66"/>
    </row>
    <row r="17" spans="1:44" ht="42" customHeight="1" x14ac:dyDescent="0.2">
      <c r="A17" s="53"/>
      <c r="B17" s="54"/>
      <c r="C17" s="55"/>
      <c r="D17" s="56"/>
      <c r="E17" s="57"/>
      <c r="F17" s="58"/>
      <c r="G17" s="67"/>
      <c r="H17" s="68"/>
      <c r="I17" s="69"/>
      <c r="J17" s="2536"/>
      <c r="K17" s="2562"/>
      <c r="L17" s="2562"/>
      <c r="M17" s="2536"/>
      <c r="N17" s="2536"/>
      <c r="O17" s="2538"/>
      <c r="P17" s="2554"/>
      <c r="Q17" s="2556"/>
      <c r="R17" s="2558"/>
      <c r="S17" s="2560"/>
      <c r="T17" s="2560"/>
      <c r="U17" s="62" t="s">
        <v>64</v>
      </c>
      <c r="V17" s="63">
        <v>0</v>
      </c>
      <c r="W17" s="70"/>
      <c r="X17" s="65"/>
      <c r="Y17" s="2548"/>
      <c r="Z17" s="2548"/>
      <c r="AA17" s="2548"/>
      <c r="AB17" s="2548"/>
      <c r="AC17" s="2548"/>
      <c r="AD17" s="2548"/>
      <c r="AE17" s="2548"/>
      <c r="AF17" s="2548"/>
      <c r="AG17" s="2548"/>
      <c r="AH17" s="2548"/>
      <c r="AI17" s="2548"/>
      <c r="AJ17" s="2548"/>
      <c r="AK17" s="2548"/>
      <c r="AL17" s="2548"/>
      <c r="AM17" s="2548"/>
      <c r="AN17" s="2548"/>
      <c r="AO17" s="2544"/>
      <c r="AP17" s="2544"/>
      <c r="AQ17" s="2546"/>
    </row>
    <row r="18" spans="1:44" ht="84.75" customHeight="1" x14ac:dyDescent="0.2">
      <c r="A18" s="53"/>
      <c r="B18" s="54"/>
      <c r="C18" s="55"/>
      <c r="D18" s="56"/>
      <c r="E18" s="57"/>
      <c r="F18" s="58"/>
      <c r="G18" s="67"/>
      <c r="H18" s="68"/>
      <c r="I18" s="69"/>
      <c r="J18" s="71">
        <v>283</v>
      </c>
      <c r="K18" s="72" t="s">
        <v>65</v>
      </c>
      <c r="L18" s="72" t="s">
        <v>66</v>
      </c>
      <c r="M18" s="71">
        <v>1</v>
      </c>
      <c r="N18" s="72" t="s">
        <v>67</v>
      </c>
      <c r="O18" s="73" t="s">
        <v>68</v>
      </c>
      <c r="P18" s="72" t="s">
        <v>69</v>
      </c>
      <c r="Q18" s="74">
        <f>V18/R18</f>
        <v>1</v>
      </c>
      <c r="R18" s="75">
        <f>SUM(V18:V18)</f>
        <v>39300000</v>
      </c>
      <c r="S18" s="72" t="s">
        <v>70</v>
      </c>
      <c r="T18" s="76" t="s">
        <v>71</v>
      </c>
      <c r="U18" s="62" t="s">
        <v>72</v>
      </c>
      <c r="V18" s="77">
        <f>30550000+8750000</f>
        <v>39300000</v>
      </c>
      <c r="W18" s="78">
        <v>20</v>
      </c>
      <c r="X18" s="79" t="s">
        <v>62</v>
      </c>
      <c r="Y18" s="80">
        <v>850</v>
      </c>
      <c r="Z18" s="80">
        <v>550</v>
      </c>
      <c r="AA18" s="80">
        <v>400</v>
      </c>
      <c r="AB18" s="80">
        <v>0</v>
      </c>
      <c r="AC18" s="80">
        <v>950</v>
      </c>
      <c r="AD18" s="80">
        <v>50</v>
      </c>
      <c r="AE18" s="80">
        <v>0</v>
      </c>
      <c r="AF18" s="80">
        <v>30</v>
      </c>
      <c r="AG18" s="80">
        <v>0</v>
      </c>
      <c r="AH18" s="80">
        <v>0</v>
      </c>
      <c r="AI18" s="80">
        <v>0</v>
      </c>
      <c r="AJ18" s="80">
        <v>0</v>
      </c>
      <c r="AK18" s="80">
        <v>0</v>
      </c>
      <c r="AL18" s="80">
        <v>0</v>
      </c>
      <c r="AM18" s="80">
        <v>0</v>
      </c>
      <c r="AN18" s="80">
        <v>1400</v>
      </c>
      <c r="AO18" s="81">
        <v>43467</v>
      </c>
      <c r="AP18" s="81">
        <v>43830</v>
      </c>
      <c r="AQ18" s="82" t="s">
        <v>73</v>
      </c>
    </row>
    <row r="19" spans="1:44" ht="81" customHeight="1" x14ac:dyDescent="0.2">
      <c r="A19" s="37"/>
      <c r="B19" s="38"/>
      <c r="C19" s="39"/>
      <c r="D19" s="83"/>
      <c r="E19" s="84"/>
      <c r="F19" s="85"/>
      <c r="G19" s="86"/>
      <c r="H19" s="87"/>
      <c r="I19" s="88"/>
      <c r="J19" s="2549">
        <v>284</v>
      </c>
      <c r="K19" s="2550" t="s">
        <v>74</v>
      </c>
      <c r="L19" s="2551" t="s">
        <v>75</v>
      </c>
      <c r="M19" s="2552">
        <v>1</v>
      </c>
      <c r="N19" s="2551" t="s">
        <v>76</v>
      </c>
      <c r="O19" s="2552" t="s">
        <v>77</v>
      </c>
      <c r="P19" s="2551" t="s">
        <v>78</v>
      </c>
      <c r="Q19" s="2574">
        <f>+(V19+V20)/R19</f>
        <v>1</v>
      </c>
      <c r="R19" s="2575">
        <f>+V19+V20</f>
        <v>102500000</v>
      </c>
      <c r="S19" s="2551" t="s">
        <v>79</v>
      </c>
      <c r="T19" s="89" t="s">
        <v>58</v>
      </c>
      <c r="U19" s="90" t="s">
        <v>80</v>
      </c>
      <c r="V19" s="91">
        <v>92500000</v>
      </c>
      <c r="W19" s="92">
        <v>20</v>
      </c>
      <c r="X19" s="65" t="s">
        <v>62</v>
      </c>
      <c r="Y19" s="2576">
        <v>292684</v>
      </c>
      <c r="Z19" s="2573">
        <v>282326</v>
      </c>
      <c r="AA19" s="2573">
        <v>135912</v>
      </c>
      <c r="AB19" s="2573">
        <v>45122</v>
      </c>
      <c r="AC19" s="2573">
        <v>307101</v>
      </c>
      <c r="AD19" s="2573">
        <v>86875</v>
      </c>
      <c r="AE19" s="2573">
        <v>2145</v>
      </c>
      <c r="AF19" s="2573">
        <v>12718</v>
      </c>
      <c r="AG19" s="2573">
        <v>26</v>
      </c>
      <c r="AH19" s="2573">
        <v>37</v>
      </c>
      <c r="AI19" s="2573">
        <v>0</v>
      </c>
      <c r="AJ19" s="2573">
        <v>0</v>
      </c>
      <c r="AK19" s="2573">
        <v>53164</v>
      </c>
      <c r="AL19" s="2573">
        <v>16982</v>
      </c>
      <c r="AM19" s="2573">
        <v>60013</v>
      </c>
      <c r="AN19" s="2573">
        <v>575010</v>
      </c>
      <c r="AO19" s="2543">
        <v>43467</v>
      </c>
      <c r="AP19" s="2543">
        <v>43830</v>
      </c>
      <c r="AQ19" s="2563" t="s">
        <v>81</v>
      </c>
      <c r="AR19" s="66"/>
    </row>
    <row r="20" spans="1:44" ht="99" customHeight="1" x14ac:dyDescent="0.2">
      <c r="A20" s="37"/>
      <c r="B20" s="38"/>
      <c r="C20" s="39"/>
      <c r="D20" s="83"/>
      <c r="E20" s="84"/>
      <c r="F20" s="85"/>
      <c r="G20" s="86"/>
      <c r="H20" s="87"/>
      <c r="I20" s="88"/>
      <c r="J20" s="2549"/>
      <c r="K20" s="2550"/>
      <c r="L20" s="2551"/>
      <c r="M20" s="2552"/>
      <c r="N20" s="2551"/>
      <c r="O20" s="2552"/>
      <c r="P20" s="2551"/>
      <c r="Q20" s="2574"/>
      <c r="R20" s="2575"/>
      <c r="S20" s="2551"/>
      <c r="T20" s="62" t="s">
        <v>82</v>
      </c>
      <c r="U20" s="90" t="s">
        <v>83</v>
      </c>
      <c r="V20" s="91">
        <v>10000000</v>
      </c>
      <c r="W20" s="92">
        <v>20</v>
      </c>
      <c r="X20" s="65" t="s">
        <v>62</v>
      </c>
      <c r="Y20" s="2576"/>
      <c r="Z20" s="2573"/>
      <c r="AA20" s="2573"/>
      <c r="AB20" s="2573"/>
      <c r="AC20" s="2573"/>
      <c r="AD20" s="2573"/>
      <c r="AE20" s="2573"/>
      <c r="AF20" s="2573"/>
      <c r="AG20" s="2573"/>
      <c r="AH20" s="2573"/>
      <c r="AI20" s="2573"/>
      <c r="AJ20" s="2573"/>
      <c r="AK20" s="2573"/>
      <c r="AL20" s="2573"/>
      <c r="AM20" s="2573"/>
      <c r="AN20" s="2573"/>
      <c r="AO20" s="2544"/>
      <c r="AP20" s="2544"/>
      <c r="AQ20" s="2563"/>
    </row>
    <row r="21" spans="1:44" ht="75" x14ac:dyDescent="0.2">
      <c r="A21" s="37"/>
      <c r="B21" s="38"/>
      <c r="C21" s="39"/>
      <c r="D21" s="83"/>
      <c r="E21" s="84"/>
      <c r="F21" s="85"/>
      <c r="G21" s="86"/>
      <c r="H21" s="87"/>
      <c r="I21" s="88"/>
      <c r="J21" s="93">
        <v>285</v>
      </c>
      <c r="K21" s="90" t="s">
        <v>84</v>
      </c>
      <c r="L21" s="62" t="s">
        <v>85</v>
      </c>
      <c r="M21" s="65">
        <v>1</v>
      </c>
      <c r="N21" s="94" t="s">
        <v>86</v>
      </c>
      <c r="O21" s="65" t="s">
        <v>87</v>
      </c>
      <c r="P21" s="62" t="s">
        <v>88</v>
      </c>
      <c r="Q21" s="95">
        <f>+V21/R21</f>
        <v>1</v>
      </c>
      <c r="R21" s="63">
        <f>V21</f>
        <v>89600000</v>
      </c>
      <c r="S21" s="90" t="s">
        <v>89</v>
      </c>
      <c r="T21" s="90" t="s">
        <v>90</v>
      </c>
      <c r="U21" s="90" t="s">
        <v>91</v>
      </c>
      <c r="V21" s="96">
        <v>89600000</v>
      </c>
      <c r="W21" s="97">
        <v>20</v>
      </c>
      <c r="X21" s="98" t="s">
        <v>62</v>
      </c>
      <c r="Y21" s="99">
        <v>292684</v>
      </c>
      <c r="Z21" s="99">
        <v>282326</v>
      </c>
      <c r="AA21" s="99">
        <v>135912</v>
      </c>
      <c r="AB21" s="99">
        <v>45122</v>
      </c>
      <c r="AC21" s="99">
        <v>307101</v>
      </c>
      <c r="AD21" s="99">
        <v>86875</v>
      </c>
      <c r="AE21" s="99">
        <v>2145</v>
      </c>
      <c r="AF21" s="99">
        <v>12718</v>
      </c>
      <c r="AG21" s="99">
        <v>26</v>
      </c>
      <c r="AH21" s="99">
        <v>37</v>
      </c>
      <c r="AI21" s="99">
        <v>0</v>
      </c>
      <c r="AJ21" s="99">
        <v>0</v>
      </c>
      <c r="AK21" s="99">
        <v>53164</v>
      </c>
      <c r="AL21" s="99">
        <v>16982</v>
      </c>
      <c r="AM21" s="99">
        <v>60013</v>
      </c>
      <c r="AN21" s="99">
        <v>575010</v>
      </c>
      <c r="AO21" s="100">
        <v>43467</v>
      </c>
      <c r="AP21" s="100">
        <v>43830</v>
      </c>
      <c r="AQ21" s="101" t="s">
        <v>81</v>
      </c>
      <c r="AR21" s="66"/>
    </row>
    <row r="22" spans="1:44" ht="60" x14ac:dyDescent="0.2">
      <c r="A22" s="37"/>
      <c r="B22" s="38"/>
      <c r="C22" s="39"/>
      <c r="D22" s="83"/>
      <c r="E22" s="84"/>
      <c r="F22" s="85"/>
      <c r="G22" s="86"/>
      <c r="H22" s="87"/>
      <c r="I22" s="88"/>
      <c r="J22" s="93">
        <v>280</v>
      </c>
      <c r="K22" s="90" t="s">
        <v>92</v>
      </c>
      <c r="L22" s="62" t="s">
        <v>93</v>
      </c>
      <c r="M22" s="102">
        <v>1</v>
      </c>
      <c r="N22" s="103"/>
      <c r="O22" s="2564" t="s">
        <v>94</v>
      </c>
      <c r="P22" s="2567" t="s">
        <v>95</v>
      </c>
      <c r="Q22" s="104">
        <f>+(V22)/R22</f>
        <v>4.7634108705444855E-3</v>
      </c>
      <c r="R22" s="2570">
        <f>SUM(V22:V26)</f>
        <v>5216850000</v>
      </c>
      <c r="S22" s="2564" t="s">
        <v>96</v>
      </c>
      <c r="T22" s="62" t="s">
        <v>97</v>
      </c>
      <c r="U22" s="2561" t="s">
        <v>98</v>
      </c>
      <c r="V22" s="2588">
        <v>24850000</v>
      </c>
      <c r="W22" s="2577">
        <v>20</v>
      </c>
      <c r="X22" s="2564" t="s">
        <v>62</v>
      </c>
      <c r="Y22" s="2547">
        <v>292684</v>
      </c>
      <c r="Z22" s="2547">
        <v>282326</v>
      </c>
      <c r="AA22" s="2547">
        <v>135912</v>
      </c>
      <c r="AB22" s="2547">
        <v>45122</v>
      </c>
      <c r="AC22" s="2547">
        <v>307101</v>
      </c>
      <c r="AD22" s="2547">
        <v>86875</v>
      </c>
      <c r="AE22" s="2547">
        <v>2145</v>
      </c>
      <c r="AF22" s="2547">
        <v>12718</v>
      </c>
      <c r="AG22" s="2547">
        <v>26</v>
      </c>
      <c r="AH22" s="2547">
        <v>37</v>
      </c>
      <c r="AI22" s="2547">
        <v>0</v>
      </c>
      <c r="AJ22" s="2547">
        <v>0</v>
      </c>
      <c r="AK22" s="2547">
        <v>53164</v>
      </c>
      <c r="AL22" s="2547">
        <v>16982</v>
      </c>
      <c r="AM22" s="2547">
        <v>60013</v>
      </c>
      <c r="AN22" s="2547">
        <v>575010</v>
      </c>
      <c r="AO22" s="2582">
        <v>43101</v>
      </c>
      <c r="AP22" s="2582">
        <v>43465</v>
      </c>
      <c r="AQ22" s="101" t="s">
        <v>99</v>
      </c>
    </row>
    <row r="23" spans="1:44" ht="71.25" customHeight="1" x14ac:dyDescent="0.2">
      <c r="A23" s="37"/>
      <c r="B23" s="38"/>
      <c r="C23" s="39"/>
      <c r="D23" s="83"/>
      <c r="E23" s="84"/>
      <c r="F23" s="85"/>
      <c r="G23" s="86"/>
      <c r="H23" s="87"/>
      <c r="I23" s="88"/>
      <c r="J23" s="2549">
        <v>281</v>
      </c>
      <c r="K23" s="2553" t="s">
        <v>100</v>
      </c>
      <c r="L23" s="2551" t="s">
        <v>101</v>
      </c>
      <c r="M23" s="2585">
        <v>1</v>
      </c>
      <c r="N23" s="2565" t="s">
        <v>102</v>
      </c>
      <c r="O23" s="2565"/>
      <c r="P23" s="2568"/>
      <c r="Q23" s="2586">
        <f>+(V23+V24)/R22</f>
        <v>1.6005827271246057E-2</v>
      </c>
      <c r="R23" s="2571"/>
      <c r="S23" s="2565"/>
      <c r="T23" s="2551" t="s">
        <v>103</v>
      </c>
      <c r="U23" s="2562"/>
      <c r="V23" s="2589"/>
      <c r="W23" s="2578"/>
      <c r="X23" s="2579"/>
      <c r="Y23" s="2580"/>
      <c r="Z23" s="2580"/>
      <c r="AA23" s="2580"/>
      <c r="AB23" s="2580"/>
      <c r="AC23" s="2580"/>
      <c r="AD23" s="2580"/>
      <c r="AE23" s="2580"/>
      <c r="AF23" s="2580"/>
      <c r="AG23" s="2580"/>
      <c r="AH23" s="2580"/>
      <c r="AI23" s="2580"/>
      <c r="AJ23" s="2580"/>
      <c r="AK23" s="2580"/>
      <c r="AL23" s="2580"/>
      <c r="AM23" s="2580"/>
      <c r="AN23" s="2580"/>
      <c r="AO23" s="2583"/>
      <c r="AP23" s="2583"/>
      <c r="AQ23" s="2563" t="s">
        <v>104</v>
      </c>
    </row>
    <row r="24" spans="1:44" ht="63.75" customHeight="1" x14ac:dyDescent="0.2">
      <c r="A24" s="37"/>
      <c r="B24" s="38"/>
      <c r="C24" s="39"/>
      <c r="D24" s="83"/>
      <c r="E24" s="84"/>
      <c r="F24" s="85"/>
      <c r="G24" s="86"/>
      <c r="H24" s="87"/>
      <c r="I24" s="88"/>
      <c r="J24" s="2549"/>
      <c r="K24" s="2554"/>
      <c r="L24" s="2551"/>
      <c r="M24" s="2585"/>
      <c r="N24" s="2565"/>
      <c r="O24" s="2565"/>
      <c r="P24" s="2568"/>
      <c r="Q24" s="2587"/>
      <c r="R24" s="2571"/>
      <c r="S24" s="2565"/>
      <c r="T24" s="2551"/>
      <c r="U24" s="62" t="s">
        <v>105</v>
      </c>
      <c r="V24" s="105">
        <f>0+83500000</f>
        <v>83500000</v>
      </c>
      <c r="W24" s="106">
        <v>20</v>
      </c>
      <c r="X24" s="107" t="s">
        <v>106</v>
      </c>
      <c r="Y24" s="2580"/>
      <c r="Z24" s="2580"/>
      <c r="AA24" s="2580"/>
      <c r="AB24" s="2580"/>
      <c r="AC24" s="2580"/>
      <c r="AD24" s="2580"/>
      <c r="AE24" s="2580"/>
      <c r="AF24" s="2580"/>
      <c r="AG24" s="2580"/>
      <c r="AH24" s="2580"/>
      <c r="AI24" s="2580"/>
      <c r="AJ24" s="2580"/>
      <c r="AK24" s="2580"/>
      <c r="AL24" s="2580"/>
      <c r="AM24" s="2580"/>
      <c r="AN24" s="2580"/>
      <c r="AO24" s="2583"/>
      <c r="AP24" s="2583"/>
      <c r="AQ24" s="2563"/>
      <c r="AR24" s="66"/>
    </row>
    <row r="25" spans="1:44" ht="45" x14ac:dyDescent="0.2">
      <c r="A25" s="37"/>
      <c r="B25" s="38"/>
      <c r="C25" s="39"/>
      <c r="D25" s="83"/>
      <c r="E25" s="84"/>
      <c r="F25" s="85"/>
      <c r="G25" s="86"/>
      <c r="H25" s="87"/>
      <c r="I25" s="88"/>
      <c r="J25" s="93">
        <v>287</v>
      </c>
      <c r="K25" s="90" t="s">
        <v>107</v>
      </c>
      <c r="L25" s="62" t="s">
        <v>108</v>
      </c>
      <c r="M25" s="102">
        <v>1</v>
      </c>
      <c r="N25" s="108" t="s">
        <v>109</v>
      </c>
      <c r="O25" s="2565"/>
      <c r="P25" s="2568"/>
      <c r="Q25" s="104">
        <f>+V25/R22</f>
        <v>2.0797991124912544E-2</v>
      </c>
      <c r="R25" s="2571"/>
      <c r="S25" s="2565"/>
      <c r="T25" s="62" t="s">
        <v>110</v>
      </c>
      <c r="U25" s="109" t="s">
        <v>111</v>
      </c>
      <c r="V25" s="110">
        <v>108500000</v>
      </c>
      <c r="W25" s="106">
        <v>20</v>
      </c>
      <c r="X25" s="107" t="s">
        <v>106</v>
      </c>
      <c r="Y25" s="2580"/>
      <c r="Z25" s="2580"/>
      <c r="AA25" s="2580"/>
      <c r="AB25" s="2580"/>
      <c r="AC25" s="2580"/>
      <c r="AD25" s="2580"/>
      <c r="AE25" s="2580"/>
      <c r="AF25" s="2580"/>
      <c r="AG25" s="2580"/>
      <c r="AH25" s="2580"/>
      <c r="AI25" s="2580"/>
      <c r="AJ25" s="2580"/>
      <c r="AK25" s="2580"/>
      <c r="AL25" s="2580"/>
      <c r="AM25" s="2580"/>
      <c r="AN25" s="2580"/>
      <c r="AO25" s="2583"/>
      <c r="AP25" s="2583"/>
      <c r="AQ25" s="101"/>
    </row>
    <row r="26" spans="1:44" ht="105.75" thickBot="1" x14ac:dyDescent="0.25">
      <c r="A26" s="111"/>
      <c r="B26" s="112"/>
      <c r="C26" s="113"/>
      <c r="D26" s="114"/>
      <c r="E26" s="115"/>
      <c r="F26" s="116"/>
      <c r="G26" s="117"/>
      <c r="H26" s="118"/>
      <c r="I26" s="119"/>
      <c r="J26" s="71">
        <v>289</v>
      </c>
      <c r="K26" s="94" t="s">
        <v>112</v>
      </c>
      <c r="L26" s="94" t="s">
        <v>113</v>
      </c>
      <c r="M26" s="120">
        <v>1</v>
      </c>
      <c r="N26" s="108"/>
      <c r="O26" s="2566"/>
      <c r="P26" s="2569"/>
      <c r="Q26" s="121">
        <f>+V26/R22</f>
        <v>0.95843277073329691</v>
      </c>
      <c r="R26" s="2572"/>
      <c r="S26" s="2566"/>
      <c r="T26" s="94" t="s">
        <v>114</v>
      </c>
      <c r="U26" s="62" t="s">
        <v>115</v>
      </c>
      <c r="V26" s="96">
        <v>5000000000</v>
      </c>
      <c r="W26" s="122">
        <v>46</v>
      </c>
      <c r="X26" s="123" t="s">
        <v>116</v>
      </c>
      <c r="Y26" s="2581"/>
      <c r="Z26" s="2581"/>
      <c r="AA26" s="2581"/>
      <c r="AB26" s="2581"/>
      <c r="AC26" s="2581"/>
      <c r="AD26" s="2581"/>
      <c r="AE26" s="2581"/>
      <c r="AF26" s="2581"/>
      <c r="AG26" s="2581"/>
      <c r="AH26" s="2581"/>
      <c r="AI26" s="2581"/>
      <c r="AJ26" s="2581"/>
      <c r="AK26" s="2581"/>
      <c r="AL26" s="2581"/>
      <c r="AM26" s="2581"/>
      <c r="AN26" s="2581"/>
      <c r="AO26" s="2584"/>
      <c r="AP26" s="2584"/>
      <c r="AQ26" s="124" t="s">
        <v>117</v>
      </c>
    </row>
    <row r="27" spans="1:44" ht="16.5" thickBot="1" x14ac:dyDescent="0.3">
      <c r="A27" s="125" t="s">
        <v>118</v>
      </c>
      <c r="B27" s="126"/>
      <c r="C27" s="126"/>
      <c r="D27" s="126"/>
      <c r="E27" s="126"/>
      <c r="F27" s="126"/>
      <c r="G27" s="126"/>
      <c r="H27" s="126"/>
      <c r="I27" s="126"/>
      <c r="J27" s="127"/>
      <c r="K27" s="128"/>
      <c r="L27" s="129"/>
      <c r="M27" s="130"/>
      <c r="N27" s="128"/>
      <c r="O27" s="129"/>
      <c r="P27" s="129"/>
      <c r="Q27" s="131"/>
      <c r="R27" s="132">
        <f>SUM(R16:R26)</f>
        <v>5527750000</v>
      </c>
      <c r="S27" s="133"/>
      <c r="T27" s="128"/>
      <c r="U27" s="134"/>
      <c r="V27" s="135">
        <f>SUM(V16:V26)</f>
        <v>5527750000</v>
      </c>
      <c r="W27" s="136"/>
      <c r="X27" s="137"/>
      <c r="Y27" s="138"/>
      <c r="Z27" s="138"/>
      <c r="AA27" s="138"/>
      <c r="AB27" s="138"/>
      <c r="AC27" s="138"/>
      <c r="AD27" s="138"/>
      <c r="AE27" s="137"/>
      <c r="AF27" s="137"/>
      <c r="AG27" s="137"/>
      <c r="AH27" s="137"/>
      <c r="AI27" s="137"/>
      <c r="AJ27" s="137"/>
      <c r="AK27" s="137"/>
      <c r="AL27" s="137"/>
      <c r="AM27" s="137"/>
      <c r="AN27" s="137"/>
      <c r="AO27" s="139"/>
      <c r="AP27" s="139"/>
      <c r="AQ27" s="140"/>
    </row>
    <row r="28" spans="1:44" x14ac:dyDescent="0.2">
      <c r="A28" s="141"/>
      <c r="B28" s="141"/>
      <c r="C28" s="141"/>
      <c r="D28" s="141"/>
      <c r="E28" s="141"/>
      <c r="F28" s="141"/>
      <c r="G28" s="141"/>
      <c r="H28" s="141"/>
      <c r="I28" s="141"/>
      <c r="J28" s="142"/>
      <c r="K28" s="143"/>
      <c r="L28" s="142"/>
      <c r="M28" s="142"/>
      <c r="N28" s="142"/>
      <c r="O28" s="142"/>
      <c r="P28" s="143"/>
      <c r="Q28" s="144"/>
      <c r="R28" s="145"/>
      <c r="S28" s="143"/>
      <c r="T28" s="143"/>
      <c r="U28" s="143"/>
      <c r="V28" s="146"/>
      <c r="W28" s="147"/>
      <c r="X28" s="148"/>
      <c r="Y28" s="149"/>
      <c r="Z28" s="149"/>
      <c r="AA28" s="149"/>
      <c r="AB28" s="149"/>
      <c r="AC28" s="149"/>
      <c r="AD28" s="149"/>
      <c r="AE28" s="149"/>
      <c r="AF28" s="149"/>
      <c r="AG28" s="149"/>
      <c r="AH28" s="149"/>
      <c r="AI28" s="149"/>
      <c r="AJ28" s="149"/>
      <c r="AK28" s="149"/>
      <c r="AL28" s="149"/>
      <c r="AM28" s="149"/>
      <c r="AN28" s="149"/>
      <c r="AO28" s="149"/>
      <c r="AP28" s="149"/>
      <c r="AQ28" s="149"/>
    </row>
    <row r="29" spans="1:44" x14ac:dyDescent="0.2">
      <c r="A29" s="141"/>
      <c r="B29" s="141"/>
      <c r="C29" s="141"/>
      <c r="D29" s="141"/>
      <c r="E29" s="141"/>
      <c r="F29" s="141"/>
      <c r="G29" s="141"/>
      <c r="H29" s="141"/>
      <c r="I29" s="141"/>
      <c r="J29" s="142"/>
      <c r="K29" s="143"/>
      <c r="L29" s="142"/>
      <c r="M29" s="142"/>
      <c r="N29" s="142"/>
      <c r="O29" s="142"/>
      <c r="P29" s="143"/>
      <c r="Q29" s="144"/>
      <c r="R29" s="150"/>
      <c r="S29" s="143"/>
      <c r="T29" s="143"/>
      <c r="U29" s="143"/>
      <c r="V29" s="149"/>
      <c r="W29" s="147"/>
      <c r="X29" s="148"/>
      <c r="Y29" s="149"/>
      <c r="Z29" s="149"/>
      <c r="AA29" s="149"/>
      <c r="AB29" s="149"/>
      <c r="AC29" s="149"/>
      <c r="AD29" s="149"/>
      <c r="AE29" s="149"/>
      <c r="AF29" s="149"/>
      <c r="AG29" s="149"/>
      <c r="AH29" s="149"/>
      <c r="AI29" s="149"/>
      <c r="AJ29" s="149"/>
      <c r="AK29" s="149"/>
      <c r="AL29" s="149"/>
      <c r="AM29" s="149"/>
      <c r="AN29" s="149"/>
      <c r="AO29" s="149"/>
      <c r="AP29" s="149"/>
      <c r="AQ29" s="149"/>
    </row>
    <row r="30" spans="1:44" ht="15.75" x14ac:dyDescent="0.25">
      <c r="A30" s="151"/>
      <c r="B30" s="151" t="s">
        <v>119</v>
      </c>
      <c r="C30" s="151"/>
      <c r="D30" s="151"/>
      <c r="E30" s="151"/>
      <c r="F30" s="141"/>
      <c r="G30" s="141"/>
      <c r="H30" s="141"/>
      <c r="I30" s="141"/>
      <c r="J30" s="142"/>
      <c r="K30" s="143"/>
      <c r="L30" s="142"/>
      <c r="M30" s="142"/>
      <c r="N30" s="142"/>
      <c r="O30" s="142"/>
      <c r="P30" s="143"/>
      <c r="Q30" s="144"/>
      <c r="R30" s="150"/>
      <c r="S30" s="143"/>
      <c r="T30" s="143"/>
      <c r="U30" s="143"/>
      <c r="V30" s="149"/>
      <c r="W30" s="147"/>
      <c r="X30" s="148"/>
      <c r="Y30" s="149"/>
      <c r="Z30" s="149"/>
      <c r="AA30" s="149"/>
      <c r="AB30" s="149"/>
      <c r="AC30" s="149"/>
      <c r="AD30" s="149"/>
      <c r="AE30" s="149"/>
      <c r="AF30" s="149"/>
      <c r="AG30" s="149"/>
      <c r="AH30" s="149"/>
      <c r="AI30" s="149"/>
      <c r="AJ30" s="149"/>
      <c r="AK30" s="149"/>
      <c r="AL30" s="149"/>
      <c r="AM30" s="149"/>
      <c r="AN30" s="149"/>
      <c r="AO30" s="149"/>
      <c r="AP30" s="149"/>
      <c r="AQ30" s="149"/>
    </row>
    <row r="31" spans="1:44" x14ac:dyDescent="0.2">
      <c r="B31" s="2" t="s">
        <v>120</v>
      </c>
    </row>
  </sheetData>
  <sheetProtection password="F3F4" sheet="1" objects="1" scenarios="1"/>
  <mergeCells count="141">
    <mergeCell ref="AQ23:AQ24"/>
    <mergeCell ref="AN22:AN26"/>
    <mergeCell ref="AO22:AO26"/>
    <mergeCell ref="AP22:AP26"/>
    <mergeCell ref="J23:J24"/>
    <mergeCell ref="K23:K24"/>
    <mergeCell ref="L23:L24"/>
    <mergeCell ref="M23:M24"/>
    <mergeCell ref="N23:N24"/>
    <mergeCell ref="Q23:Q24"/>
    <mergeCell ref="T23:T24"/>
    <mergeCell ref="AH22:AH26"/>
    <mergeCell ref="AI22:AI26"/>
    <mergeCell ref="AJ22:AJ26"/>
    <mergeCell ref="AK22:AK26"/>
    <mergeCell ref="AL22:AL26"/>
    <mergeCell ref="AM22:AM26"/>
    <mergeCell ref="AB22:AB26"/>
    <mergeCell ref="AC22:AC26"/>
    <mergeCell ref="AD22:AD26"/>
    <mergeCell ref="AE22:AE26"/>
    <mergeCell ref="AF22:AF26"/>
    <mergeCell ref="AG22:AG26"/>
    <mergeCell ref="V22:V23"/>
    <mergeCell ref="W22:W23"/>
    <mergeCell ref="X22:X23"/>
    <mergeCell ref="Y22:Y26"/>
    <mergeCell ref="Z22:Z26"/>
    <mergeCell ref="AA22:AA26"/>
    <mergeCell ref="AM19:AM20"/>
    <mergeCell ref="AN19:AN20"/>
    <mergeCell ref="AO19:AO20"/>
    <mergeCell ref="AP19:AP20"/>
    <mergeCell ref="AQ19:AQ20"/>
    <mergeCell ref="O22:O26"/>
    <mergeCell ref="P22:P26"/>
    <mergeCell ref="R22:R26"/>
    <mergeCell ref="S22:S26"/>
    <mergeCell ref="U22:U23"/>
    <mergeCell ref="AG19:AG20"/>
    <mergeCell ref="AH19:AH20"/>
    <mergeCell ref="AI19:AI20"/>
    <mergeCell ref="AJ19:AJ20"/>
    <mergeCell ref="AK19:AK20"/>
    <mergeCell ref="AL19:AL20"/>
    <mergeCell ref="AA19:AA20"/>
    <mergeCell ref="AB19:AB20"/>
    <mergeCell ref="AC19:AC20"/>
    <mergeCell ref="AD19:AD20"/>
    <mergeCell ref="AE19:AE20"/>
    <mergeCell ref="AF19:AF20"/>
    <mergeCell ref="P19:P20"/>
    <mergeCell ref="Q19:Q20"/>
    <mergeCell ref="R19:R20"/>
    <mergeCell ref="S19:S20"/>
    <mergeCell ref="Y19:Y20"/>
    <mergeCell ref="Z19:Z20"/>
    <mergeCell ref="J19:J20"/>
    <mergeCell ref="K19:K20"/>
    <mergeCell ref="L19:L20"/>
    <mergeCell ref="M19:M20"/>
    <mergeCell ref="N19:N20"/>
    <mergeCell ref="O19:O20"/>
    <mergeCell ref="AL16:AL17"/>
    <mergeCell ref="AM16:AM17"/>
    <mergeCell ref="AN16:AN17"/>
    <mergeCell ref="Z16:Z17"/>
    <mergeCell ref="AA16:AA17"/>
    <mergeCell ref="AB16:AB17"/>
    <mergeCell ref="AC16:AC17"/>
    <mergeCell ref="AD16:AD17"/>
    <mergeCell ref="AE16:AE17"/>
    <mergeCell ref="P16:P17"/>
    <mergeCell ref="Q16:Q17"/>
    <mergeCell ref="R16:R17"/>
    <mergeCell ref="S16:S17"/>
    <mergeCell ref="T16:T17"/>
    <mergeCell ref="Y16:Y17"/>
    <mergeCell ref="J16:J17"/>
    <mergeCell ref="K16:K17"/>
    <mergeCell ref="L16:L17"/>
    <mergeCell ref="AO16:AO17"/>
    <mergeCell ref="AP16:AP17"/>
    <mergeCell ref="AQ16:AQ17"/>
    <mergeCell ref="AF16:AF17"/>
    <mergeCell ref="AG16:AG17"/>
    <mergeCell ref="AH16:AH17"/>
    <mergeCell ref="AI16:AI17"/>
    <mergeCell ref="AJ16:AJ17"/>
    <mergeCell ref="AK16:AK17"/>
    <mergeCell ref="M16:M17"/>
    <mergeCell ref="N16:N17"/>
    <mergeCell ref="O16:O17"/>
    <mergeCell ref="AH8:AH12"/>
    <mergeCell ref="AI8:AI12"/>
    <mergeCell ref="AJ8:AJ12"/>
    <mergeCell ref="AK8:AK12"/>
    <mergeCell ref="AL8:AL12"/>
    <mergeCell ref="AM8:AM12"/>
    <mergeCell ref="V7:V12"/>
    <mergeCell ref="P7:P12"/>
    <mergeCell ref="Q7:Q12"/>
    <mergeCell ref="R7:R12"/>
    <mergeCell ref="S7:S12"/>
    <mergeCell ref="T7:T12"/>
    <mergeCell ref="U7:U12"/>
    <mergeCell ref="AB8:AB12"/>
    <mergeCell ref="AC8:AC12"/>
    <mergeCell ref="X7:X12"/>
    <mergeCell ref="Y7:Z7"/>
    <mergeCell ref="AA7:AD7"/>
    <mergeCell ref="AE7:AJ7"/>
    <mergeCell ref="AK7:AM7"/>
    <mergeCell ref="AD8:AD12"/>
    <mergeCell ref="AE8:AE12"/>
    <mergeCell ref="AF8:AF12"/>
    <mergeCell ref="AG8:AG12"/>
    <mergeCell ref="J7:J12"/>
    <mergeCell ref="K7:K12"/>
    <mergeCell ref="L7:L12"/>
    <mergeCell ref="M7:M12"/>
    <mergeCell ref="N7:N12"/>
    <mergeCell ref="O7:O12"/>
    <mergeCell ref="A1:AO4"/>
    <mergeCell ref="A5:M6"/>
    <mergeCell ref="N5:AQ5"/>
    <mergeCell ref="Y6:AM6"/>
    <mergeCell ref="A7:A12"/>
    <mergeCell ref="B7:C12"/>
    <mergeCell ref="D7:D12"/>
    <mergeCell ref="E7:F12"/>
    <mergeCell ref="G7:G12"/>
    <mergeCell ref="H7:I12"/>
    <mergeCell ref="AN7:AN12"/>
    <mergeCell ref="AO7:AO12"/>
    <mergeCell ref="AP7:AP12"/>
    <mergeCell ref="AQ7:AQ12"/>
    <mergeCell ref="W8:W12"/>
    <mergeCell ref="Y8:Y12"/>
    <mergeCell ref="Z8:Z12"/>
    <mergeCell ref="AA8:AA1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130"/>
  <sheetViews>
    <sheetView showGridLines="0" zoomScale="60" zoomScaleNormal="60" workbookViewId="0">
      <selection activeCell="L16" sqref="L16:L19"/>
    </sheetView>
  </sheetViews>
  <sheetFormatPr baseColWidth="10" defaultColWidth="11.42578125" defaultRowHeight="15" x14ac:dyDescent="0.2"/>
  <cols>
    <col min="1" max="1" width="12.7109375" style="386" customWidth="1"/>
    <col min="2" max="2" width="22.28515625" style="386" customWidth="1"/>
    <col min="3" max="3" width="3" style="386" customWidth="1"/>
    <col min="4" max="4" width="17.28515625" style="386" customWidth="1"/>
    <col min="5" max="5" width="8.140625" style="386" customWidth="1"/>
    <col min="6" max="6" width="11.7109375" style="386" customWidth="1"/>
    <col min="7" max="7" width="15.28515625" style="386" customWidth="1"/>
    <col min="8" max="8" width="7.5703125" style="386" customWidth="1"/>
    <col min="9" max="9" width="15.85546875" style="386" customWidth="1"/>
    <col min="10" max="10" width="15.140625" style="386" customWidth="1"/>
    <col min="11" max="11" width="30.85546875" style="386" customWidth="1"/>
    <col min="12" max="12" width="28.140625" style="386" customWidth="1"/>
    <col min="13" max="13" width="12.140625" style="386" customWidth="1"/>
    <col min="14" max="14" width="36.7109375" style="864" customWidth="1"/>
    <col min="15" max="15" width="27.140625" style="386" customWidth="1"/>
    <col min="16" max="16" width="22" style="386" customWidth="1"/>
    <col min="17" max="17" width="13" style="386" customWidth="1"/>
    <col min="18" max="18" width="30.140625" style="386" customWidth="1"/>
    <col min="19" max="19" width="28.85546875" style="386" customWidth="1"/>
    <col min="20" max="20" width="39" style="386" customWidth="1"/>
    <col min="21" max="21" width="37.85546875" style="386" customWidth="1"/>
    <col min="22" max="22" width="30.42578125" style="386" bestFit="1" customWidth="1"/>
    <col min="23" max="23" width="16.140625" style="864" customWidth="1"/>
    <col min="24" max="24" width="27.42578125" style="863" customWidth="1"/>
    <col min="25" max="25" width="11.5703125" style="386" customWidth="1"/>
    <col min="26" max="26" width="9" style="386" bestFit="1" customWidth="1"/>
    <col min="27" max="27" width="13.42578125" style="386" customWidth="1"/>
    <col min="28" max="28" width="8.140625" style="386" customWidth="1"/>
    <col min="29" max="29" width="9.28515625" style="386" customWidth="1"/>
    <col min="30" max="30" width="8.140625" style="386" customWidth="1"/>
    <col min="31" max="32" width="8" style="386" customWidth="1"/>
    <col min="33" max="36" width="7.42578125" style="386" customWidth="1"/>
    <col min="37" max="37" width="7.5703125" style="386" bestFit="1" customWidth="1"/>
    <col min="38" max="38" width="7.5703125" style="386" customWidth="1"/>
    <col min="39" max="39" width="7.5703125" style="386" bestFit="1" customWidth="1"/>
    <col min="40" max="40" width="9" style="386" bestFit="1" customWidth="1"/>
    <col min="41" max="41" width="9" style="386" customWidth="1"/>
    <col min="42" max="42" width="15" style="386" customWidth="1"/>
    <col min="43" max="43" width="20.28515625" style="386" customWidth="1"/>
    <col min="44" max="44" width="24.42578125" style="386" customWidth="1"/>
    <col min="45" max="57" width="14.85546875" style="386" customWidth="1"/>
    <col min="58" max="16384" width="11.42578125" style="386"/>
  </cols>
  <sheetData>
    <row r="1" spans="1:64" ht="25.5" customHeight="1" x14ac:dyDescent="0.25">
      <c r="A1" s="3742" t="s">
        <v>430</v>
      </c>
      <c r="B1" s="3742"/>
      <c r="C1" s="3742"/>
      <c r="D1" s="3742"/>
      <c r="E1" s="3742"/>
      <c r="F1" s="3742"/>
      <c r="G1" s="3742"/>
      <c r="H1" s="3742"/>
      <c r="I1" s="3742"/>
      <c r="J1" s="3742"/>
      <c r="K1" s="3742"/>
      <c r="L1" s="3742"/>
      <c r="M1" s="3742"/>
      <c r="N1" s="3742"/>
      <c r="O1" s="3742"/>
      <c r="P1" s="3742"/>
      <c r="Q1" s="3742"/>
      <c r="R1" s="3742"/>
      <c r="S1" s="3742"/>
      <c r="T1" s="3742"/>
      <c r="U1" s="3742"/>
      <c r="V1" s="3742"/>
      <c r="W1" s="3742"/>
      <c r="X1" s="3742"/>
      <c r="Y1" s="3742"/>
      <c r="Z1" s="3742"/>
      <c r="AA1" s="3742"/>
      <c r="AB1" s="3742"/>
      <c r="AC1" s="3742"/>
      <c r="AD1" s="3742"/>
      <c r="AE1" s="3742"/>
      <c r="AF1" s="3742"/>
      <c r="AG1" s="3742"/>
      <c r="AH1" s="3742"/>
      <c r="AI1" s="3742"/>
      <c r="AJ1" s="3742"/>
      <c r="AK1" s="3742"/>
      <c r="AL1" s="3742"/>
      <c r="AM1" s="3742"/>
      <c r="AN1" s="3742"/>
      <c r="AO1" s="3742"/>
      <c r="AP1" s="3742"/>
      <c r="AQ1" s="549" t="s">
        <v>1</v>
      </c>
      <c r="AR1" s="549" t="s">
        <v>2</v>
      </c>
    </row>
    <row r="2" spans="1:64" ht="22.5" customHeight="1" x14ac:dyDescent="0.25">
      <c r="A2" s="3742"/>
      <c r="B2" s="3742"/>
      <c r="C2" s="3742"/>
      <c r="D2" s="3742"/>
      <c r="E2" s="3742"/>
      <c r="F2" s="3742"/>
      <c r="G2" s="3742"/>
      <c r="H2" s="3742"/>
      <c r="I2" s="3742"/>
      <c r="J2" s="3742"/>
      <c r="K2" s="3742"/>
      <c r="L2" s="3742"/>
      <c r="M2" s="3742"/>
      <c r="N2" s="3742"/>
      <c r="O2" s="3742"/>
      <c r="P2" s="3742"/>
      <c r="Q2" s="3742"/>
      <c r="R2" s="3742"/>
      <c r="S2" s="3742"/>
      <c r="T2" s="3742"/>
      <c r="U2" s="3742"/>
      <c r="V2" s="3742"/>
      <c r="W2" s="3742"/>
      <c r="X2" s="3742"/>
      <c r="Y2" s="3742"/>
      <c r="Z2" s="3742"/>
      <c r="AA2" s="3742"/>
      <c r="AB2" s="3742"/>
      <c r="AC2" s="3742"/>
      <c r="AD2" s="3742"/>
      <c r="AE2" s="3742"/>
      <c r="AF2" s="3742"/>
      <c r="AG2" s="3742"/>
      <c r="AH2" s="3742"/>
      <c r="AI2" s="3742"/>
      <c r="AJ2" s="3742"/>
      <c r="AK2" s="3742"/>
      <c r="AL2" s="3742"/>
      <c r="AM2" s="3742"/>
      <c r="AN2" s="3742"/>
      <c r="AO2" s="3742"/>
      <c r="AP2" s="3742"/>
      <c r="AQ2" s="550" t="s">
        <v>3</v>
      </c>
      <c r="AR2" s="551">
        <v>6</v>
      </c>
    </row>
    <row r="3" spans="1:64" ht="16.5" customHeight="1" x14ac:dyDescent="0.25">
      <c r="A3" s="3742"/>
      <c r="B3" s="3742"/>
      <c r="C3" s="3742"/>
      <c r="D3" s="3742"/>
      <c r="E3" s="3742"/>
      <c r="F3" s="3742"/>
      <c r="G3" s="3742"/>
      <c r="H3" s="3742"/>
      <c r="I3" s="3742"/>
      <c r="J3" s="3742"/>
      <c r="K3" s="3742"/>
      <c r="L3" s="3742"/>
      <c r="M3" s="3742"/>
      <c r="N3" s="3742"/>
      <c r="O3" s="3742"/>
      <c r="P3" s="3742"/>
      <c r="Q3" s="3742"/>
      <c r="R3" s="3742"/>
      <c r="S3" s="3742"/>
      <c r="T3" s="3742"/>
      <c r="U3" s="3742"/>
      <c r="V3" s="3742"/>
      <c r="W3" s="3742"/>
      <c r="X3" s="3742"/>
      <c r="Y3" s="3742"/>
      <c r="Z3" s="3742"/>
      <c r="AA3" s="3742"/>
      <c r="AB3" s="3742"/>
      <c r="AC3" s="3742"/>
      <c r="AD3" s="3742"/>
      <c r="AE3" s="3742"/>
      <c r="AF3" s="3742"/>
      <c r="AG3" s="3742"/>
      <c r="AH3" s="3742"/>
      <c r="AI3" s="3742"/>
      <c r="AJ3" s="3742"/>
      <c r="AK3" s="3742"/>
      <c r="AL3" s="3742"/>
      <c r="AM3" s="3742"/>
      <c r="AN3" s="3742"/>
      <c r="AO3" s="3742"/>
      <c r="AP3" s="3742"/>
      <c r="AQ3" s="549" t="s">
        <v>5</v>
      </c>
      <c r="AR3" s="552" t="s">
        <v>6</v>
      </c>
    </row>
    <row r="4" spans="1:64" s="395" customFormat="1" ht="30" customHeight="1" x14ac:dyDescent="0.2">
      <c r="A4" s="3283"/>
      <c r="B4" s="3283"/>
      <c r="C4" s="3283"/>
      <c r="D4" s="3283"/>
      <c r="E4" s="3283"/>
      <c r="F4" s="3283"/>
      <c r="G4" s="3283"/>
      <c r="H4" s="3283"/>
      <c r="I4" s="3283"/>
      <c r="J4" s="3283"/>
      <c r="K4" s="3283"/>
      <c r="L4" s="3283"/>
      <c r="M4" s="3283"/>
      <c r="N4" s="3283"/>
      <c r="O4" s="3283"/>
      <c r="P4" s="3283"/>
      <c r="Q4" s="3283"/>
      <c r="R4" s="3283"/>
      <c r="S4" s="3283"/>
      <c r="T4" s="3283"/>
      <c r="U4" s="3283"/>
      <c r="V4" s="3283"/>
      <c r="W4" s="3283"/>
      <c r="X4" s="3283"/>
      <c r="Y4" s="3283"/>
      <c r="Z4" s="3283"/>
      <c r="AA4" s="3283"/>
      <c r="AB4" s="3283"/>
      <c r="AC4" s="3283"/>
      <c r="AD4" s="3283"/>
      <c r="AE4" s="3283"/>
      <c r="AF4" s="3283"/>
      <c r="AG4" s="3283"/>
      <c r="AH4" s="3283"/>
      <c r="AI4" s="3283"/>
      <c r="AJ4" s="3283"/>
      <c r="AK4" s="3283"/>
      <c r="AL4" s="3283"/>
      <c r="AM4" s="3283"/>
      <c r="AN4" s="3283"/>
      <c r="AO4" s="3283"/>
      <c r="AP4" s="3283"/>
      <c r="AQ4" s="553" t="s">
        <v>7</v>
      </c>
      <c r="AR4" s="554" t="s">
        <v>329</v>
      </c>
    </row>
    <row r="5" spans="1:64" ht="16.5" customHeight="1" x14ac:dyDescent="0.2">
      <c r="A5" s="3285" t="s">
        <v>9</v>
      </c>
      <c r="B5" s="3285"/>
      <c r="C5" s="3285"/>
      <c r="D5" s="3285"/>
      <c r="E5" s="3285"/>
      <c r="F5" s="3285"/>
      <c r="G5" s="3285"/>
      <c r="H5" s="3285"/>
      <c r="I5" s="3285"/>
      <c r="J5" s="3285"/>
      <c r="K5" s="3285"/>
      <c r="L5" s="3285"/>
      <c r="M5" s="3285"/>
      <c r="N5" s="555"/>
      <c r="O5" s="555"/>
      <c r="P5" s="3285" t="s">
        <v>10</v>
      </c>
      <c r="Q5" s="3285"/>
      <c r="R5" s="3285"/>
      <c r="S5" s="3285"/>
      <c r="T5" s="3285"/>
      <c r="U5" s="3285"/>
      <c r="V5" s="3285"/>
      <c r="W5" s="3285"/>
      <c r="X5" s="3285"/>
      <c r="Y5" s="3285"/>
      <c r="Z5" s="3285"/>
      <c r="AA5" s="3285"/>
      <c r="AB5" s="3285"/>
      <c r="AC5" s="3285"/>
      <c r="AD5" s="3285"/>
      <c r="AE5" s="3285"/>
      <c r="AF5" s="3285"/>
      <c r="AG5" s="3285"/>
      <c r="AH5" s="3285"/>
      <c r="AI5" s="3285"/>
      <c r="AJ5" s="3285"/>
      <c r="AK5" s="3285"/>
      <c r="AL5" s="3285"/>
      <c r="AM5" s="3285"/>
      <c r="AN5" s="3285"/>
      <c r="AO5" s="3285"/>
      <c r="AP5" s="3285"/>
      <c r="AQ5" s="3285"/>
      <c r="AR5" s="3285"/>
    </row>
    <row r="6" spans="1:64" ht="34.5" customHeight="1" x14ac:dyDescent="0.2">
      <c r="A6" s="3743" t="s">
        <v>12</v>
      </c>
      <c r="B6" s="3741" t="s">
        <v>13</v>
      </c>
      <c r="C6" s="3741"/>
      <c r="D6" s="3741" t="s">
        <v>12</v>
      </c>
      <c r="E6" s="3741" t="s">
        <v>14</v>
      </c>
      <c r="F6" s="3741"/>
      <c r="G6" s="3741" t="s">
        <v>12</v>
      </c>
      <c r="H6" s="3741" t="s">
        <v>15</v>
      </c>
      <c r="I6" s="3741"/>
      <c r="J6" s="3741" t="s">
        <v>12</v>
      </c>
      <c r="K6" s="3741" t="s">
        <v>16</v>
      </c>
      <c r="L6" s="3741" t="s">
        <v>17</v>
      </c>
      <c r="M6" s="3739" t="s">
        <v>18</v>
      </c>
      <c r="N6" s="3741" t="s">
        <v>19</v>
      </c>
      <c r="O6" s="3741" t="s">
        <v>20</v>
      </c>
      <c r="P6" s="3741" t="s">
        <v>10</v>
      </c>
      <c r="Q6" s="3768" t="s">
        <v>21</v>
      </c>
      <c r="R6" s="3768" t="s">
        <v>22</v>
      </c>
      <c r="S6" s="3768" t="s">
        <v>23</v>
      </c>
      <c r="T6" s="3768" t="s">
        <v>24</v>
      </c>
      <c r="U6" s="3768" t="s">
        <v>25</v>
      </c>
      <c r="V6" s="556" t="s">
        <v>22</v>
      </c>
      <c r="W6" s="3743" t="s">
        <v>12</v>
      </c>
      <c r="X6" s="3741" t="s">
        <v>26</v>
      </c>
      <c r="Y6" s="3759" t="s">
        <v>27</v>
      </c>
      <c r="Z6" s="3759"/>
      <c r="AA6" s="3760" t="s">
        <v>28</v>
      </c>
      <c r="AB6" s="3761"/>
      <c r="AC6" s="3761"/>
      <c r="AD6" s="3761"/>
      <c r="AE6" s="3762" t="s">
        <v>29</v>
      </c>
      <c r="AF6" s="3763"/>
      <c r="AG6" s="3763"/>
      <c r="AH6" s="3763"/>
      <c r="AI6" s="3763"/>
      <c r="AJ6" s="3763"/>
      <c r="AK6" s="3058" t="s">
        <v>30</v>
      </c>
      <c r="AL6" s="3058"/>
      <c r="AM6" s="3058"/>
      <c r="AN6" s="3764" t="s">
        <v>31</v>
      </c>
      <c r="AO6" s="3765"/>
      <c r="AP6" s="3744" t="s">
        <v>32</v>
      </c>
      <c r="AQ6" s="3744" t="s">
        <v>33</v>
      </c>
      <c r="AR6" s="3746" t="s">
        <v>34</v>
      </c>
      <c r="AS6" s="527"/>
      <c r="AT6" s="527"/>
      <c r="AU6" s="527"/>
      <c r="AV6" s="527"/>
      <c r="AW6" s="527"/>
      <c r="AX6" s="527"/>
      <c r="AY6" s="527"/>
      <c r="AZ6" s="527"/>
      <c r="BA6" s="527"/>
      <c r="BB6" s="527"/>
      <c r="BC6" s="527"/>
      <c r="BD6" s="527"/>
      <c r="BE6" s="527"/>
      <c r="BF6" s="527"/>
      <c r="BG6" s="527"/>
      <c r="BH6" s="527"/>
      <c r="BI6" s="527"/>
      <c r="BJ6" s="527"/>
      <c r="BK6" s="527"/>
      <c r="BL6" s="527"/>
    </row>
    <row r="7" spans="1:64" ht="142.5" customHeight="1" x14ac:dyDescent="0.2">
      <c r="A7" s="3743"/>
      <c r="B7" s="3741"/>
      <c r="C7" s="3741"/>
      <c r="D7" s="3741"/>
      <c r="E7" s="3741"/>
      <c r="F7" s="3741"/>
      <c r="G7" s="3741"/>
      <c r="H7" s="3741"/>
      <c r="I7" s="3741"/>
      <c r="J7" s="3741"/>
      <c r="K7" s="3741"/>
      <c r="L7" s="3741"/>
      <c r="M7" s="3740"/>
      <c r="N7" s="3741"/>
      <c r="O7" s="3741"/>
      <c r="P7" s="3741"/>
      <c r="Q7" s="3768"/>
      <c r="R7" s="3768"/>
      <c r="S7" s="3768"/>
      <c r="T7" s="3768"/>
      <c r="U7" s="3768"/>
      <c r="V7" s="557" t="s">
        <v>431</v>
      </c>
      <c r="W7" s="3743"/>
      <c r="X7" s="3741"/>
      <c r="Y7" s="558" t="s">
        <v>35</v>
      </c>
      <c r="Z7" s="559" t="s">
        <v>36</v>
      </c>
      <c r="AA7" s="558" t="s">
        <v>37</v>
      </c>
      <c r="AB7" s="558" t="s">
        <v>125</v>
      </c>
      <c r="AC7" s="558" t="s">
        <v>432</v>
      </c>
      <c r="AD7" s="558" t="s">
        <v>127</v>
      </c>
      <c r="AE7" s="558" t="s">
        <v>41</v>
      </c>
      <c r="AF7" s="558" t="s">
        <v>42</v>
      </c>
      <c r="AG7" s="558" t="s">
        <v>43</v>
      </c>
      <c r="AH7" s="558" t="s">
        <v>44</v>
      </c>
      <c r="AI7" s="558" t="s">
        <v>45</v>
      </c>
      <c r="AJ7" s="558" t="s">
        <v>46</v>
      </c>
      <c r="AK7" s="558" t="s">
        <v>47</v>
      </c>
      <c r="AL7" s="558" t="s">
        <v>48</v>
      </c>
      <c r="AM7" s="558" t="s">
        <v>49</v>
      </c>
      <c r="AN7" s="3766"/>
      <c r="AO7" s="3767"/>
      <c r="AP7" s="3745"/>
      <c r="AQ7" s="3745"/>
      <c r="AR7" s="3747"/>
      <c r="AS7" s="527"/>
      <c r="AT7" s="527"/>
      <c r="AU7" s="527"/>
      <c r="AV7" s="527"/>
      <c r="AW7" s="527"/>
      <c r="AX7" s="527"/>
      <c r="AY7" s="527"/>
      <c r="AZ7" s="527"/>
      <c r="BA7" s="527"/>
      <c r="BB7" s="527"/>
      <c r="BC7" s="527"/>
      <c r="BD7" s="527"/>
      <c r="BE7" s="527"/>
      <c r="BF7" s="527"/>
      <c r="BG7" s="527"/>
      <c r="BH7" s="527"/>
      <c r="BI7" s="527"/>
      <c r="BJ7" s="527"/>
      <c r="BK7" s="527"/>
      <c r="BL7" s="527"/>
    </row>
    <row r="8" spans="1:64" s="569" customFormat="1" ht="15.75" x14ac:dyDescent="0.25">
      <c r="A8" s="560">
        <v>3</v>
      </c>
      <c r="B8" s="561"/>
      <c r="C8" s="561" t="s">
        <v>299</v>
      </c>
      <c r="D8" s="561"/>
      <c r="E8" s="561"/>
      <c r="F8" s="561"/>
      <c r="G8" s="561"/>
      <c r="H8" s="561"/>
      <c r="I8" s="561"/>
      <c r="J8" s="561"/>
      <c r="K8" s="562"/>
      <c r="L8" s="562"/>
      <c r="M8" s="561"/>
      <c r="N8" s="563"/>
      <c r="O8" s="561"/>
      <c r="P8" s="562"/>
      <c r="Q8" s="564"/>
      <c r="R8" s="565"/>
      <c r="S8" s="562"/>
      <c r="T8" s="562"/>
      <c r="U8" s="562"/>
      <c r="V8" s="562"/>
      <c r="W8" s="563"/>
      <c r="X8" s="562"/>
      <c r="Y8" s="561"/>
      <c r="Z8" s="561"/>
      <c r="AA8" s="561"/>
      <c r="AB8" s="561"/>
      <c r="AC8" s="561"/>
      <c r="AD8" s="561"/>
      <c r="AE8" s="561"/>
      <c r="AF8" s="561"/>
      <c r="AG8" s="561"/>
      <c r="AH8" s="566"/>
      <c r="AI8" s="562"/>
      <c r="AJ8" s="567"/>
      <c r="AK8" s="567"/>
      <c r="AL8" s="567"/>
      <c r="AM8" s="567"/>
      <c r="AN8" s="567"/>
      <c r="AO8" s="567"/>
      <c r="AP8" s="567"/>
      <c r="AQ8" s="567"/>
      <c r="AR8" s="568"/>
    </row>
    <row r="9" spans="1:64" s="569" customFormat="1" ht="15.75" x14ac:dyDescent="0.25">
      <c r="A9" s="570"/>
      <c r="B9" s="571"/>
      <c r="C9" s="572"/>
      <c r="D9" s="573">
        <v>5</v>
      </c>
      <c r="E9" s="574" t="s">
        <v>433</v>
      </c>
      <c r="F9" s="574"/>
      <c r="G9" s="574"/>
      <c r="H9" s="574"/>
      <c r="I9" s="574"/>
      <c r="J9" s="574"/>
      <c r="K9" s="575"/>
      <c r="L9" s="575"/>
      <c r="M9" s="574"/>
      <c r="N9" s="576"/>
      <c r="O9" s="574"/>
      <c r="P9" s="575"/>
      <c r="Q9" s="577"/>
      <c r="R9" s="578"/>
      <c r="S9" s="575"/>
      <c r="T9" s="575"/>
      <c r="U9" s="575"/>
      <c r="V9" s="575"/>
      <c r="W9" s="576"/>
      <c r="X9" s="575"/>
      <c r="Y9" s="574"/>
      <c r="Z9" s="574"/>
      <c r="AA9" s="574"/>
      <c r="AB9" s="574"/>
      <c r="AC9" s="574"/>
      <c r="AD9" s="574"/>
      <c r="AE9" s="574"/>
      <c r="AF9" s="574"/>
      <c r="AG9" s="574"/>
      <c r="AH9" s="579"/>
      <c r="AI9" s="575"/>
      <c r="AJ9" s="580"/>
      <c r="AK9" s="580"/>
      <c r="AL9" s="580"/>
      <c r="AM9" s="580"/>
      <c r="AN9" s="580"/>
      <c r="AO9" s="580"/>
      <c r="AP9" s="580"/>
      <c r="AQ9" s="580"/>
      <c r="AR9" s="581"/>
    </row>
    <row r="10" spans="1:64" s="569" customFormat="1" ht="15.75" x14ac:dyDescent="0.25">
      <c r="A10" s="582"/>
      <c r="B10" s="583"/>
      <c r="C10" s="583"/>
      <c r="D10" s="584"/>
      <c r="E10" s="585"/>
      <c r="F10" s="586"/>
      <c r="G10" s="587">
        <v>16</v>
      </c>
      <c r="H10" s="588" t="s">
        <v>434</v>
      </c>
      <c r="I10" s="588"/>
      <c r="J10" s="588"/>
      <c r="K10" s="589"/>
      <c r="L10" s="589"/>
      <c r="M10" s="588"/>
      <c r="N10" s="590"/>
      <c r="O10" s="588"/>
      <c r="P10" s="589"/>
      <c r="Q10" s="591"/>
      <c r="R10" s="592"/>
      <c r="S10" s="589"/>
      <c r="T10" s="593"/>
      <c r="U10" s="593"/>
      <c r="V10" s="593"/>
      <c r="W10" s="594"/>
      <c r="X10" s="593"/>
      <c r="Y10" s="588"/>
      <c r="Z10" s="588"/>
      <c r="AA10" s="588"/>
      <c r="AB10" s="588"/>
      <c r="AC10" s="588"/>
      <c r="AD10" s="588"/>
      <c r="AE10" s="595"/>
      <c r="AF10" s="588"/>
      <c r="AG10" s="588"/>
      <c r="AH10" s="596"/>
      <c r="AI10" s="589"/>
      <c r="AJ10" s="597"/>
      <c r="AK10" s="597"/>
      <c r="AL10" s="597"/>
      <c r="AM10" s="597"/>
      <c r="AN10" s="597"/>
      <c r="AO10" s="597"/>
      <c r="AP10" s="597"/>
      <c r="AQ10" s="597"/>
      <c r="AR10" s="598"/>
    </row>
    <row r="11" spans="1:64" s="569" customFormat="1" ht="15.75" customHeight="1" x14ac:dyDescent="0.25">
      <c r="A11" s="582"/>
      <c r="B11" s="583"/>
      <c r="C11" s="583"/>
      <c r="D11" s="599"/>
      <c r="E11" s="600"/>
      <c r="F11" s="601"/>
      <c r="G11" s="528"/>
      <c r="H11" s="528"/>
      <c r="I11" s="602"/>
      <c r="J11" s="3748">
        <v>65</v>
      </c>
      <c r="K11" s="3750" t="s">
        <v>435</v>
      </c>
      <c r="L11" s="3750" t="s">
        <v>436</v>
      </c>
      <c r="M11" s="3752">
        <v>1</v>
      </c>
      <c r="N11" s="3754" t="s">
        <v>437</v>
      </c>
      <c r="O11" s="3755" t="s">
        <v>438</v>
      </c>
      <c r="P11" s="3756" t="s">
        <v>439</v>
      </c>
      <c r="Q11" s="3772">
        <f>SUM(V11:V15)/$R$11</f>
        <v>0.34333822549207033</v>
      </c>
      <c r="R11" s="3788">
        <f>SUM(V11:V23)</f>
        <v>18750985512.239998</v>
      </c>
      <c r="S11" s="3789" t="s">
        <v>440</v>
      </c>
      <c r="T11" s="3790" t="s">
        <v>441</v>
      </c>
      <c r="U11" s="3790" t="s">
        <v>442</v>
      </c>
      <c r="V11" s="3791">
        <v>2166498979</v>
      </c>
      <c r="W11" s="3776">
        <v>35</v>
      </c>
      <c r="X11" s="3778" t="s">
        <v>443</v>
      </c>
      <c r="Y11" s="3779">
        <v>20555</v>
      </c>
      <c r="Z11" s="3775">
        <v>21361</v>
      </c>
      <c r="AA11" s="3775">
        <v>30460</v>
      </c>
      <c r="AB11" s="3775">
        <v>9593</v>
      </c>
      <c r="AC11" s="3775">
        <v>1762</v>
      </c>
      <c r="AD11" s="3775">
        <v>101</v>
      </c>
      <c r="AE11" s="3775">
        <v>308</v>
      </c>
      <c r="AF11" s="3775">
        <v>277</v>
      </c>
      <c r="AG11" s="3775">
        <v>0</v>
      </c>
      <c r="AH11" s="3775">
        <v>0</v>
      </c>
      <c r="AI11" s="3775">
        <v>0</v>
      </c>
      <c r="AJ11" s="3775">
        <v>0</v>
      </c>
      <c r="AK11" s="3775">
        <v>2907</v>
      </c>
      <c r="AL11" s="3775">
        <v>2589</v>
      </c>
      <c r="AM11" s="3775">
        <v>2954</v>
      </c>
      <c r="AN11" s="3775">
        <f>+Y11+Z11</f>
        <v>41916</v>
      </c>
      <c r="AO11" s="3783"/>
      <c r="AP11" s="3785">
        <v>43497</v>
      </c>
      <c r="AQ11" s="3785">
        <v>43829</v>
      </c>
      <c r="AR11" s="3748" t="s">
        <v>444</v>
      </c>
    </row>
    <row r="12" spans="1:64" s="569" customFormat="1" ht="22.5" customHeight="1" x14ac:dyDescent="0.25">
      <c r="A12" s="582"/>
      <c r="B12" s="583"/>
      <c r="C12" s="583"/>
      <c r="D12" s="599"/>
      <c r="E12" s="600"/>
      <c r="F12" s="601"/>
      <c r="G12" s="528"/>
      <c r="H12" s="528"/>
      <c r="I12" s="602"/>
      <c r="J12" s="3748"/>
      <c r="K12" s="3750"/>
      <c r="L12" s="3750"/>
      <c r="M12" s="3752"/>
      <c r="N12" s="3752"/>
      <c r="O12" s="3755"/>
      <c r="P12" s="3757"/>
      <c r="Q12" s="3772"/>
      <c r="R12" s="3788"/>
      <c r="S12" s="3789"/>
      <c r="T12" s="3790"/>
      <c r="U12" s="3790"/>
      <c r="V12" s="3791"/>
      <c r="W12" s="3777"/>
      <c r="X12" s="3778"/>
      <c r="Y12" s="3779"/>
      <c r="Z12" s="3775"/>
      <c r="AA12" s="3775"/>
      <c r="AB12" s="3775"/>
      <c r="AC12" s="3775"/>
      <c r="AD12" s="3775"/>
      <c r="AE12" s="3775"/>
      <c r="AF12" s="3775"/>
      <c r="AG12" s="3775"/>
      <c r="AH12" s="3775"/>
      <c r="AI12" s="3775"/>
      <c r="AJ12" s="3775"/>
      <c r="AK12" s="3775"/>
      <c r="AL12" s="3775"/>
      <c r="AM12" s="3775"/>
      <c r="AN12" s="3775"/>
      <c r="AO12" s="3775"/>
      <c r="AP12" s="3786"/>
      <c r="AQ12" s="3786"/>
      <c r="AR12" s="3748"/>
    </row>
    <row r="13" spans="1:64" s="569" customFormat="1" ht="28.5" customHeight="1" x14ac:dyDescent="0.25">
      <c r="A13" s="582"/>
      <c r="B13" s="583"/>
      <c r="C13" s="583"/>
      <c r="D13" s="599"/>
      <c r="E13" s="600"/>
      <c r="F13" s="601"/>
      <c r="G13" s="528"/>
      <c r="H13" s="528"/>
      <c r="I13" s="602"/>
      <c r="J13" s="3748"/>
      <c r="K13" s="3750"/>
      <c r="L13" s="3750"/>
      <c r="M13" s="3752"/>
      <c r="N13" s="3752"/>
      <c r="O13" s="3755"/>
      <c r="P13" s="3757"/>
      <c r="Q13" s="3772"/>
      <c r="R13" s="3788"/>
      <c r="S13" s="3789"/>
      <c r="T13" s="3790"/>
      <c r="U13" s="3790"/>
      <c r="V13" s="603">
        <f>1142155795+241355304</f>
        <v>1383511099</v>
      </c>
      <c r="W13" s="604">
        <v>20</v>
      </c>
      <c r="X13" s="605" t="s">
        <v>62</v>
      </c>
      <c r="Y13" s="3779"/>
      <c r="Z13" s="3775"/>
      <c r="AA13" s="3775"/>
      <c r="AB13" s="3775"/>
      <c r="AC13" s="3775"/>
      <c r="AD13" s="3775"/>
      <c r="AE13" s="3775"/>
      <c r="AF13" s="3775"/>
      <c r="AG13" s="3775"/>
      <c r="AH13" s="3775"/>
      <c r="AI13" s="3775"/>
      <c r="AJ13" s="3775"/>
      <c r="AK13" s="3775"/>
      <c r="AL13" s="3775"/>
      <c r="AM13" s="3775"/>
      <c r="AN13" s="3775"/>
      <c r="AO13" s="3775"/>
      <c r="AP13" s="3786"/>
      <c r="AQ13" s="3786"/>
      <c r="AR13" s="3748"/>
    </row>
    <row r="14" spans="1:64" s="569" customFormat="1" ht="28.5" customHeight="1" x14ac:dyDescent="0.25">
      <c r="A14" s="582"/>
      <c r="B14" s="583"/>
      <c r="C14" s="583"/>
      <c r="D14" s="599"/>
      <c r="E14" s="600"/>
      <c r="F14" s="601"/>
      <c r="G14" s="528"/>
      <c r="H14" s="528"/>
      <c r="I14" s="602"/>
      <c r="J14" s="3748"/>
      <c r="K14" s="3750"/>
      <c r="L14" s="3750"/>
      <c r="M14" s="3752"/>
      <c r="N14" s="3752"/>
      <c r="O14" s="3755"/>
      <c r="P14" s="3757"/>
      <c r="Q14" s="3772"/>
      <c r="R14" s="3788"/>
      <c r="S14" s="3789"/>
      <c r="T14" s="3790"/>
      <c r="U14" s="3790"/>
      <c r="V14" s="603">
        <v>43958033</v>
      </c>
      <c r="W14" s="604">
        <v>91</v>
      </c>
      <c r="X14" s="605" t="s">
        <v>445</v>
      </c>
      <c r="Y14" s="3779"/>
      <c r="Z14" s="3775"/>
      <c r="AA14" s="3775"/>
      <c r="AB14" s="3775"/>
      <c r="AC14" s="3775"/>
      <c r="AD14" s="3775"/>
      <c r="AE14" s="3775"/>
      <c r="AF14" s="3775"/>
      <c r="AG14" s="3775"/>
      <c r="AH14" s="3775"/>
      <c r="AI14" s="3775"/>
      <c r="AJ14" s="3775"/>
      <c r="AK14" s="3775"/>
      <c r="AL14" s="3775"/>
      <c r="AM14" s="3775"/>
      <c r="AN14" s="3775"/>
      <c r="AO14" s="3775"/>
      <c r="AP14" s="3786"/>
      <c r="AQ14" s="3786"/>
      <c r="AR14" s="3748"/>
    </row>
    <row r="15" spans="1:64" s="569" customFormat="1" ht="31.5" customHeight="1" x14ac:dyDescent="0.25">
      <c r="A15" s="582"/>
      <c r="B15" s="583"/>
      <c r="C15" s="583"/>
      <c r="D15" s="599"/>
      <c r="E15" s="600"/>
      <c r="F15" s="601"/>
      <c r="G15" s="528"/>
      <c r="H15" s="528"/>
      <c r="I15" s="602"/>
      <c r="J15" s="3749"/>
      <c r="K15" s="3751"/>
      <c r="L15" s="3751"/>
      <c r="M15" s="3753"/>
      <c r="N15" s="3752"/>
      <c r="O15" s="3755"/>
      <c r="P15" s="3757"/>
      <c r="Q15" s="3773"/>
      <c r="R15" s="3788"/>
      <c r="S15" s="3789"/>
      <c r="T15" s="3790"/>
      <c r="U15" s="3790"/>
      <c r="V15" s="606">
        <f>2321723335+522238646</f>
        <v>2843961981</v>
      </c>
      <c r="W15" s="604">
        <v>88</v>
      </c>
      <c r="X15" s="607" t="s">
        <v>446</v>
      </c>
      <c r="Y15" s="3779"/>
      <c r="Z15" s="3775"/>
      <c r="AA15" s="3775"/>
      <c r="AB15" s="3775"/>
      <c r="AC15" s="3775"/>
      <c r="AD15" s="3775"/>
      <c r="AE15" s="3775"/>
      <c r="AF15" s="3775"/>
      <c r="AG15" s="3775"/>
      <c r="AH15" s="3775"/>
      <c r="AI15" s="3775"/>
      <c r="AJ15" s="3775"/>
      <c r="AK15" s="3775"/>
      <c r="AL15" s="3775"/>
      <c r="AM15" s="3775"/>
      <c r="AN15" s="3775"/>
      <c r="AO15" s="3775"/>
      <c r="AP15" s="3786"/>
      <c r="AQ15" s="3786"/>
      <c r="AR15" s="3748"/>
    </row>
    <row r="16" spans="1:64" s="569" customFormat="1" ht="48" customHeight="1" x14ac:dyDescent="0.25">
      <c r="A16" s="582"/>
      <c r="B16" s="583"/>
      <c r="C16" s="583"/>
      <c r="D16" s="599"/>
      <c r="E16" s="600"/>
      <c r="F16" s="601"/>
      <c r="G16" s="528"/>
      <c r="H16" s="528"/>
      <c r="I16" s="602"/>
      <c r="J16" s="3769">
        <v>66</v>
      </c>
      <c r="K16" s="3770" t="s">
        <v>447</v>
      </c>
      <c r="L16" s="3770" t="s">
        <v>448</v>
      </c>
      <c r="M16" s="3754">
        <v>1</v>
      </c>
      <c r="N16" s="3752"/>
      <c r="O16" s="3755"/>
      <c r="P16" s="3757"/>
      <c r="Q16" s="3771">
        <f>SUM(V16+V18+V19)/$R$11</f>
        <v>0.57933250565144812</v>
      </c>
      <c r="R16" s="3788"/>
      <c r="S16" s="3789"/>
      <c r="T16" s="3774" t="s">
        <v>449</v>
      </c>
      <c r="U16" s="3792" t="s">
        <v>450</v>
      </c>
      <c r="V16" s="608">
        <v>9000000000</v>
      </c>
      <c r="W16" s="604">
        <v>81</v>
      </c>
      <c r="X16" s="609" t="s">
        <v>451</v>
      </c>
      <c r="Y16" s="3779"/>
      <c r="Z16" s="3775"/>
      <c r="AA16" s="3775"/>
      <c r="AB16" s="3775"/>
      <c r="AC16" s="3775"/>
      <c r="AD16" s="3775"/>
      <c r="AE16" s="3775"/>
      <c r="AF16" s="3775"/>
      <c r="AG16" s="3775"/>
      <c r="AH16" s="3775"/>
      <c r="AI16" s="3775"/>
      <c r="AJ16" s="3775"/>
      <c r="AK16" s="3775"/>
      <c r="AL16" s="3775"/>
      <c r="AM16" s="3775"/>
      <c r="AN16" s="3775"/>
      <c r="AO16" s="3775"/>
      <c r="AP16" s="3786"/>
      <c r="AQ16" s="3786"/>
      <c r="AR16" s="3748"/>
    </row>
    <row r="17" spans="1:44" s="569" customFormat="1" ht="48" customHeight="1" x14ac:dyDescent="0.25">
      <c r="A17" s="582"/>
      <c r="B17" s="583"/>
      <c r="C17" s="583"/>
      <c r="D17" s="599"/>
      <c r="E17" s="600"/>
      <c r="F17" s="601"/>
      <c r="G17" s="528"/>
      <c r="H17" s="528"/>
      <c r="I17" s="602"/>
      <c r="J17" s="3748"/>
      <c r="K17" s="3750"/>
      <c r="L17" s="3750"/>
      <c r="M17" s="3752"/>
      <c r="N17" s="3752"/>
      <c r="O17" s="3755"/>
      <c r="P17" s="3757"/>
      <c r="Q17" s="3772"/>
      <c r="R17" s="3788"/>
      <c r="S17" s="3789"/>
      <c r="T17" s="3774"/>
      <c r="U17" s="3792"/>
      <c r="V17" s="608">
        <v>150000000</v>
      </c>
      <c r="W17" s="604">
        <v>81</v>
      </c>
      <c r="X17" s="609" t="s">
        <v>452</v>
      </c>
      <c r="Y17" s="3779"/>
      <c r="Z17" s="3775"/>
      <c r="AA17" s="3775"/>
      <c r="AB17" s="3775"/>
      <c r="AC17" s="3775"/>
      <c r="AD17" s="3775"/>
      <c r="AE17" s="3775"/>
      <c r="AF17" s="3775"/>
      <c r="AG17" s="3775"/>
      <c r="AH17" s="3775"/>
      <c r="AI17" s="3775"/>
      <c r="AJ17" s="3775"/>
      <c r="AK17" s="3775"/>
      <c r="AL17" s="3775"/>
      <c r="AM17" s="3775"/>
      <c r="AN17" s="3775"/>
      <c r="AO17" s="3775"/>
      <c r="AP17" s="3786"/>
      <c r="AQ17" s="3786"/>
      <c r="AR17" s="3748"/>
    </row>
    <row r="18" spans="1:44" s="569" customFormat="1" ht="43.5" customHeight="1" x14ac:dyDescent="0.25">
      <c r="A18" s="582"/>
      <c r="B18" s="583"/>
      <c r="C18" s="583"/>
      <c r="D18" s="599"/>
      <c r="E18" s="600"/>
      <c r="F18" s="601"/>
      <c r="G18" s="528"/>
      <c r="H18" s="528"/>
      <c r="I18" s="602"/>
      <c r="J18" s="3748"/>
      <c r="K18" s="3750"/>
      <c r="L18" s="3750"/>
      <c r="M18" s="3752"/>
      <c r="N18" s="3752"/>
      <c r="O18" s="3755"/>
      <c r="P18" s="3757"/>
      <c r="Q18" s="3772"/>
      <c r="R18" s="3788"/>
      <c r="S18" s="3789"/>
      <c r="T18" s="3774"/>
      <c r="U18" s="3792"/>
      <c r="V18" s="608">
        <v>1577857420.24</v>
      </c>
      <c r="W18" s="604">
        <v>137</v>
      </c>
      <c r="X18" s="609" t="s">
        <v>453</v>
      </c>
      <c r="Y18" s="3779"/>
      <c r="Z18" s="3775"/>
      <c r="AA18" s="3775"/>
      <c r="AB18" s="3775"/>
      <c r="AC18" s="3775"/>
      <c r="AD18" s="3775"/>
      <c r="AE18" s="3775"/>
      <c r="AF18" s="3775"/>
      <c r="AG18" s="3775"/>
      <c r="AH18" s="3775"/>
      <c r="AI18" s="3775"/>
      <c r="AJ18" s="3775"/>
      <c r="AK18" s="3775"/>
      <c r="AL18" s="3775"/>
      <c r="AM18" s="3775"/>
      <c r="AN18" s="3775"/>
      <c r="AO18" s="3775"/>
      <c r="AP18" s="3786"/>
      <c r="AQ18" s="3786"/>
      <c r="AR18" s="3748"/>
    </row>
    <row r="19" spans="1:44" s="569" customFormat="1" ht="70.5" customHeight="1" x14ac:dyDescent="0.25">
      <c r="A19" s="582"/>
      <c r="B19" s="583"/>
      <c r="C19" s="583"/>
      <c r="D19" s="599"/>
      <c r="E19" s="600"/>
      <c r="F19" s="601"/>
      <c r="G19" s="528"/>
      <c r="H19" s="528"/>
      <c r="I19" s="602"/>
      <c r="J19" s="3749"/>
      <c r="K19" s="3751"/>
      <c r="L19" s="3751"/>
      <c r="M19" s="3753"/>
      <c r="N19" s="3752"/>
      <c r="O19" s="3755"/>
      <c r="P19" s="3757"/>
      <c r="Q19" s="3773"/>
      <c r="R19" s="3788"/>
      <c r="S19" s="3789"/>
      <c r="T19" s="3774"/>
      <c r="U19" s="610" t="s">
        <v>454</v>
      </c>
      <c r="V19" s="611">
        <v>285198000</v>
      </c>
      <c r="W19" s="604">
        <v>20</v>
      </c>
      <c r="X19" s="609" t="s">
        <v>62</v>
      </c>
      <c r="Y19" s="3779"/>
      <c r="Z19" s="3775"/>
      <c r="AA19" s="3775"/>
      <c r="AB19" s="3775"/>
      <c r="AC19" s="3775"/>
      <c r="AD19" s="3775"/>
      <c r="AE19" s="3775"/>
      <c r="AF19" s="3775"/>
      <c r="AG19" s="3775"/>
      <c r="AH19" s="3775"/>
      <c r="AI19" s="3775"/>
      <c r="AJ19" s="3775"/>
      <c r="AK19" s="3775"/>
      <c r="AL19" s="3775"/>
      <c r="AM19" s="3775"/>
      <c r="AN19" s="3775"/>
      <c r="AO19" s="3775"/>
      <c r="AP19" s="3786"/>
      <c r="AQ19" s="3786"/>
      <c r="AR19" s="3748"/>
    </row>
    <row r="20" spans="1:44" s="613" customFormat="1" ht="48.75" customHeight="1" x14ac:dyDescent="0.25">
      <c r="A20" s="582"/>
      <c r="B20" s="583"/>
      <c r="C20" s="583"/>
      <c r="D20" s="599"/>
      <c r="E20" s="600"/>
      <c r="F20" s="601"/>
      <c r="G20" s="528"/>
      <c r="H20" s="528"/>
      <c r="I20" s="602"/>
      <c r="J20" s="3769">
        <v>67</v>
      </c>
      <c r="K20" s="3770" t="s">
        <v>455</v>
      </c>
      <c r="L20" s="3770" t="s">
        <v>456</v>
      </c>
      <c r="M20" s="3754">
        <v>1</v>
      </c>
      <c r="N20" s="3752"/>
      <c r="O20" s="3755"/>
      <c r="P20" s="3757"/>
      <c r="Q20" s="3780">
        <f>SUM(V20:V23)/$R$11</f>
        <v>6.9329689319604287E-2</v>
      </c>
      <c r="R20" s="3788"/>
      <c r="S20" s="3789"/>
      <c r="T20" s="3774" t="s">
        <v>457</v>
      </c>
      <c r="U20" s="3774" t="s">
        <v>458</v>
      </c>
      <c r="V20" s="612">
        <f>860000000-241355304</f>
        <v>618644696</v>
      </c>
      <c r="W20" s="604">
        <v>20</v>
      </c>
      <c r="X20" s="609" t="s">
        <v>62</v>
      </c>
      <c r="Y20" s="3779"/>
      <c r="Z20" s="3775"/>
      <c r="AA20" s="3775"/>
      <c r="AB20" s="3775"/>
      <c r="AC20" s="3775"/>
      <c r="AD20" s="3775"/>
      <c r="AE20" s="3775"/>
      <c r="AF20" s="3775"/>
      <c r="AG20" s="3775"/>
      <c r="AH20" s="3775"/>
      <c r="AI20" s="3775"/>
      <c r="AJ20" s="3775"/>
      <c r="AK20" s="3775"/>
      <c r="AL20" s="3775"/>
      <c r="AM20" s="3775"/>
      <c r="AN20" s="3775"/>
      <c r="AO20" s="3775"/>
      <c r="AP20" s="3786"/>
      <c r="AQ20" s="3786"/>
      <c r="AR20" s="3748"/>
    </row>
    <row r="21" spans="1:44" s="613" customFormat="1" ht="48.75" customHeight="1" x14ac:dyDescent="0.25">
      <c r="A21" s="582"/>
      <c r="B21" s="583"/>
      <c r="C21" s="583"/>
      <c r="D21" s="599"/>
      <c r="E21" s="600"/>
      <c r="F21" s="601"/>
      <c r="G21" s="528"/>
      <c r="H21" s="528"/>
      <c r="I21" s="602"/>
      <c r="J21" s="3748"/>
      <c r="K21" s="3750"/>
      <c r="L21" s="3750"/>
      <c r="M21" s="3752"/>
      <c r="N21" s="3752"/>
      <c r="O21" s="3755"/>
      <c r="P21" s="3757"/>
      <c r="Q21" s="3781"/>
      <c r="R21" s="3788"/>
      <c r="S21" s="3789"/>
      <c r="T21" s="3774"/>
      <c r="U21" s="3774"/>
      <c r="V21" s="612">
        <v>241355304</v>
      </c>
      <c r="W21" s="604">
        <v>91</v>
      </c>
      <c r="X21" s="609" t="s">
        <v>445</v>
      </c>
      <c r="Y21" s="3779"/>
      <c r="Z21" s="3775"/>
      <c r="AA21" s="3775"/>
      <c r="AB21" s="3775"/>
      <c r="AC21" s="3775"/>
      <c r="AD21" s="3775"/>
      <c r="AE21" s="3775"/>
      <c r="AF21" s="3775"/>
      <c r="AG21" s="3775"/>
      <c r="AH21" s="3775"/>
      <c r="AI21" s="3775"/>
      <c r="AJ21" s="3775"/>
      <c r="AK21" s="3775"/>
      <c r="AL21" s="3775"/>
      <c r="AM21" s="3775"/>
      <c r="AN21" s="3775"/>
      <c r="AO21" s="3775"/>
      <c r="AP21" s="3786"/>
      <c r="AQ21" s="3786"/>
      <c r="AR21" s="3748"/>
    </row>
    <row r="22" spans="1:44" s="613" customFormat="1" ht="41.25" customHeight="1" x14ac:dyDescent="0.25">
      <c r="A22" s="582"/>
      <c r="B22" s="583"/>
      <c r="C22" s="583"/>
      <c r="D22" s="599"/>
      <c r="E22" s="600"/>
      <c r="F22" s="601"/>
      <c r="G22" s="528"/>
      <c r="H22" s="528"/>
      <c r="I22" s="602"/>
      <c r="J22" s="3748"/>
      <c r="K22" s="3750"/>
      <c r="L22" s="3750"/>
      <c r="M22" s="3752"/>
      <c r="N22" s="3752"/>
      <c r="O22" s="3755"/>
      <c r="P22" s="3757"/>
      <c r="Q22" s="3781"/>
      <c r="R22" s="3788"/>
      <c r="S22" s="3789"/>
      <c r="T22" s="3774"/>
      <c r="U22" s="3774"/>
      <c r="V22" s="612">
        <v>200000000</v>
      </c>
      <c r="W22" s="604">
        <v>35</v>
      </c>
      <c r="X22" s="610" t="s">
        <v>443</v>
      </c>
      <c r="Y22" s="3779"/>
      <c r="Z22" s="3775"/>
      <c r="AA22" s="3775"/>
      <c r="AB22" s="3775"/>
      <c r="AC22" s="3775"/>
      <c r="AD22" s="3775"/>
      <c r="AE22" s="3775"/>
      <c r="AF22" s="3775"/>
      <c r="AG22" s="3775"/>
      <c r="AH22" s="3775"/>
      <c r="AI22" s="3775"/>
      <c r="AJ22" s="3775"/>
      <c r="AK22" s="3775"/>
      <c r="AL22" s="3775"/>
      <c r="AM22" s="3775"/>
      <c r="AN22" s="3775"/>
      <c r="AO22" s="3775"/>
      <c r="AP22" s="3786"/>
      <c r="AQ22" s="3786"/>
      <c r="AR22" s="3748"/>
    </row>
    <row r="23" spans="1:44" s="569" customFormat="1" ht="39.75" customHeight="1" x14ac:dyDescent="0.25">
      <c r="A23" s="582"/>
      <c r="B23" s="583"/>
      <c r="C23" s="583"/>
      <c r="D23" s="599"/>
      <c r="E23" s="600"/>
      <c r="F23" s="601"/>
      <c r="G23" s="528"/>
      <c r="H23" s="528"/>
      <c r="I23" s="602"/>
      <c r="J23" s="3748"/>
      <c r="K23" s="3750"/>
      <c r="L23" s="3750"/>
      <c r="M23" s="3752"/>
      <c r="N23" s="3753"/>
      <c r="O23" s="3755"/>
      <c r="P23" s="3758"/>
      <c r="Q23" s="3782"/>
      <c r="R23" s="3788"/>
      <c r="S23" s="3789"/>
      <c r="T23" s="3774"/>
      <c r="U23" s="3774"/>
      <c r="V23" s="606">
        <f>0+240000000</f>
        <v>240000000</v>
      </c>
      <c r="W23" s="614">
        <v>88</v>
      </c>
      <c r="X23" s="615" t="s">
        <v>446</v>
      </c>
      <c r="Y23" s="3779"/>
      <c r="Z23" s="3775"/>
      <c r="AA23" s="3775"/>
      <c r="AB23" s="3775"/>
      <c r="AC23" s="3775"/>
      <c r="AD23" s="3775"/>
      <c r="AE23" s="3775"/>
      <c r="AF23" s="3775"/>
      <c r="AG23" s="3775"/>
      <c r="AH23" s="3775"/>
      <c r="AI23" s="3775"/>
      <c r="AJ23" s="3775"/>
      <c r="AK23" s="3775"/>
      <c r="AL23" s="3775"/>
      <c r="AM23" s="3775"/>
      <c r="AN23" s="3775"/>
      <c r="AO23" s="3784"/>
      <c r="AP23" s="3787"/>
      <c r="AQ23" s="3787"/>
      <c r="AR23" s="3748"/>
    </row>
    <row r="24" spans="1:44" s="569" customFormat="1" ht="19.5" customHeight="1" x14ac:dyDescent="0.25">
      <c r="A24" s="616"/>
      <c r="B24" s="617"/>
      <c r="C24" s="617"/>
      <c r="D24" s="616"/>
      <c r="E24" s="617"/>
      <c r="F24" s="618"/>
      <c r="G24" s="619">
        <v>17</v>
      </c>
      <c r="H24" s="620" t="s">
        <v>459</v>
      </c>
      <c r="I24" s="620"/>
      <c r="J24" s="621"/>
      <c r="K24" s="589"/>
      <c r="L24" s="589"/>
      <c r="M24" s="621"/>
      <c r="N24" s="622"/>
      <c r="O24" s="621"/>
      <c r="P24" s="589"/>
      <c r="Q24" s="621"/>
      <c r="R24" s="623"/>
      <c r="S24" s="589"/>
      <c r="T24" s="593"/>
      <c r="U24" s="593"/>
      <c r="V24" s="624"/>
      <c r="W24" s="594"/>
      <c r="X24" s="593"/>
      <c r="Y24" s="621"/>
      <c r="Z24" s="621"/>
      <c r="AA24" s="621"/>
      <c r="AB24" s="621"/>
      <c r="AC24" s="621"/>
      <c r="AD24" s="621"/>
      <c r="AE24" s="621"/>
      <c r="AF24" s="621"/>
      <c r="AG24" s="621"/>
      <c r="AH24" s="621"/>
      <c r="AI24" s="621"/>
      <c r="AJ24" s="621"/>
      <c r="AK24" s="621"/>
      <c r="AL24" s="621"/>
      <c r="AM24" s="621"/>
      <c r="AN24" s="597"/>
      <c r="AO24" s="597"/>
      <c r="AP24" s="597"/>
      <c r="AQ24" s="597"/>
      <c r="AR24" s="625"/>
    </row>
    <row r="25" spans="1:44" s="569" customFormat="1" ht="98.25" customHeight="1" x14ac:dyDescent="0.25">
      <c r="A25" s="626"/>
      <c r="B25" s="627"/>
      <c r="C25" s="627"/>
      <c r="D25" s="628"/>
      <c r="E25" s="532"/>
      <c r="F25" s="532"/>
      <c r="G25" s="629"/>
      <c r="H25" s="630"/>
      <c r="I25" s="631"/>
      <c r="J25" s="3783">
        <v>68</v>
      </c>
      <c r="K25" s="3754" t="s">
        <v>460</v>
      </c>
      <c r="L25" s="3756" t="s">
        <v>461</v>
      </c>
      <c r="M25" s="3798">
        <v>4500</v>
      </c>
      <c r="N25" s="3754" t="s">
        <v>462</v>
      </c>
      <c r="O25" s="3752" t="s">
        <v>463</v>
      </c>
      <c r="P25" s="3750" t="s">
        <v>464</v>
      </c>
      <c r="Q25" s="3793">
        <f>(V25+V26)/R25</f>
        <v>1.6097875080489377E-2</v>
      </c>
      <c r="R25" s="3788">
        <f>SUM(V25:V32)</f>
        <v>1553000000</v>
      </c>
      <c r="S25" s="3750" t="s">
        <v>465</v>
      </c>
      <c r="T25" s="3751" t="s">
        <v>466</v>
      </c>
      <c r="U25" s="3796" t="s">
        <v>467</v>
      </c>
      <c r="V25" s="632">
        <v>5000000</v>
      </c>
      <c r="W25" s="633">
        <v>20</v>
      </c>
      <c r="X25" s="634" t="s">
        <v>62</v>
      </c>
      <c r="Y25" s="3800"/>
      <c r="Z25" s="3775"/>
      <c r="AA25" s="3775"/>
      <c r="AB25" s="3775"/>
      <c r="AC25" s="3775"/>
      <c r="AD25" s="3775">
        <v>1762</v>
      </c>
      <c r="AE25" s="3783">
        <v>101</v>
      </c>
      <c r="AF25" s="3783">
        <v>277</v>
      </c>
      <c r="AG25" s="3775">
        <v>0</v>
      </c>
      <c r="AH25" s="3775">
        <v>0</v>
      </c>
      <c r="AI25" s="3775">
        <v>0</v>
      </c>
      <c r="AJ25" s="3775">
        <v>0</v>
      </c>
      <c r="AK25" s="3775">
        <v>2907</v>
      </c>
      <c r="AL25" s="3775">
        <v>2589</v>
      </c>
      <c r="AM25" s="3775">
        <v>2954</v>
      </c>
      <c r="AN25" s="3775">
        <v>10590</v>
      </c>
      <c r="AO25" s="3783">
        <v>10590</v>
      </c>
      <c r="AP25" s="3805">
        <v>43497</v>
      </c>
      <c r="AQ25" s="3805">
        <v>43646</v>
      </c>
      <c r="AR25" s="3748" t="s">
        <v>468</v>
      </c>
    </row>
    <row r="26" spans="1:44" s="569" customFormat="1" ht="102.75" customHeight="1" x14ac:dyDescent="0.25">
      <c r="A26" s="626"/>
      <c r="B26" s="627"/>
      <c r="C26" s="627"/>
      <c r="D26" s="628"/>
      <c r="E26" s="532"/>
      <c r="F26" s="532"/>
      <c r="G26" s="628"/>
      <c r="H26" s="532"/>
      <c r="I26" s="635"/>
      <c r="J26" s="3784"/>
      <c r="K26" s="3753"/>
      <c r="L26" s="3758"/>
      <c r="M26" s="3799"/>
      <c r="N26" s="3752"/>
      <c r="O26" s="3752"/>
      <c r="P26" s="3750"/>
      <c r="Q26" s="3794"/>
      <c r="R26" s="3788"/>
      <c r="S26" s="3750"/>
      <c r="T26" s="3795"/>
      <c r="U26" s="3797"/>
      <c r="V26" s="636">
        <f>0+20000000</f>
        <v>20000000</v>
      </c>
      <c r="W26" s="637">
        <v>88</v>
      </c>
      <c r="X26" s="638" t="s">
        <v>446</v>
      </c>
      <c r="Y26" s="3800"/>
      <c r="Z26" s="3775"/>
      <c r="AA26" s="3775"/>
      <c r="AB26" s="3775"/>
      <c r="AC26" s="3775"/>
      <c r="AD26" s="3775"/>
      <c r="AE26" s="3775"/>
      <c r="AF26" s="3775"/>
      <c r="AG26" s="3775"/>
      <c r="AH26" s="3775"/>
      <c r="AI26" s="3775"/>
      <c r="AJ26" s="3775"/>
      <c r="AK26" s="3775"/>
      <c r="AL26" s="3775"/>
      <c r="AM26" s="3775"/>
      <c r="AN26" s="3775"/>
      <c r="AO26" s="3775"/>
      <c r="AP26" s="3806"/>
      <c r="AQ26" s="3806"/>
      <c r="AR26" s="3748"/>
    </row>
    <row r="27" spans="1:44" s="569" customFormat="1" ht="75" customHeight="1" x14ac:dyDescent="0.25">
      <c r="A27" s="3808"/>
      <c r="B27" s="3809"/>
      <c r="C27" s="3810"/>
      <c r="D27" s="3817"/>
      <c r="E27" s="3818"/>
      <c r="F27" s="3819"/>
      <c r="G27" s="3802"/>
      <c r="H27" s="3802"/>
      <c r="I27" s="3802"/>
      <c r="J27" s="639">
        <v>69</v>
      </c>
      <c r="K27" s="640" t="s">
        <v>469</v>
      </c>
      <c r="L27" s="641" t="s">
        <v>470</v>
      </c>
      <c r="M27" s="642">
        <v>1</v>
      </c>
      <c r="N27" s="3752"/>
      <c r="O27" s="3752"/>
      <c r="P27" s="3750"/>
      <c r="Q27" s="643">
        <f>+V27/R25</f>
        <v>3.2195750160978749E-3</v>
      </c>
      <c r="R27" s="3788"/>
      <c r="S27" s="3750"/>
      <c r="T27" s="3795"/>
      <c r="U27" s="644" t="s">
        <v>471</v>
      </c>
      <c r="V27" s="645">
        <v>5000000</v>
      </c>
      <c r="W27" s="646">
        <v>20</v>
      </c>
      <c r="X27" s="641" t="s">
        <v>62</v>
      </c>
      <c r="Y27" s="3775"/>
      <c r="Z27" s="3775"/>
      <c r="AA27" s="3775"/>
      <c r="AB27" s="3775"/>
      <c r="AC27" s="3775"/>
      <c r="AD27" s="3775"/>
      <c r="AE27" s="3775"/>
      <c r="AF27" s="3775"/>
      <c r="AG27" s="3775"/>
      <c r="AH27" s="3775"/>
      <c r="AI27" s="3775"/>
      <c r="AJ27" s="3775"/>
      <c r="AK27" s="3775"/>
      <c r="AL27" s="3775"/>
      <c r="AM27" s="3775"/>
      <c r="AN27" s="3775"/>
      <c r="AO27" s="3775"/>
      <c r="AP27" s="3806"/>
      <c r="AQ27" s="3806"/>
      <c r="AR27" s="3748"/>
    </row>
    <row r="28" spans="1:44" s="569" customFormat="1" ht="58.5" customHeight="1" x14ac:dyDescent="0.25">
      <c r="A28" s="3811"/>
      <c r="B28" s="3812"/>
      <c r="C28" s="3813"/>
      <c r="D28" s="3820"/>
      <c r="E28" s="3821"/>
      <c r="F28" s="3755"/>
      <c r="G28" s="3802"/>
      <c r="H28" s="3802"/>
      <c r="I28" s="3802"/>
      <c r="J28" s="3825">
        <v>70</v>
      </c>
      <c r="K28" s="3770" t="s">
        <v>472</v>
      </c>
      <c r="L28" s="3795" t="s">
        <v>473</v>
      </c>
      <c r="M28" s="3826">
        <v>490</v>
      </c>
      <c r="N28" s="3752"/>
      <c r="O28" s="3752"/>
      <c r="P28" s="3750"/>
      <c r="Q28" s="3793">
        <f>+(V28+V29)/R25</f>
        <v>6.4391500321957498E-3</v>
      </c>
      <c r="R28" s="3788"/>
      <c r="S28" s="3750"/>
      <c r="T28" s="3795"/>
      <c r="U28" s="647" t="s">
        <v>474</v>
      </c>
      <c r="V28" s="645">
        <v>10000000</v>
      </c>
      <c r="W28" s="648">
        <v>20</v>
      </c>
      <c r="X28" s="640" t="s">
        <v>62</v>
      </c>
      <c r="Y28" s="3775"/>
      <c r="Z28" s="3775"/>
      <c r="AA28" s="3775"/>
      <c r="AB28" s="3775"/>
      <c r="AC28" s="3775"/>
      <c r="AD28" s="3775"/>
      <c r="AE28" s="3775"/>
      <c r="AF28" s="3775"/>
      <c r="AG28" s="3775"/>
      <c r="AH28" s="3775"/>
      <c r="AI28" s="3775"/>
      <c r="AJ28" s="3775"/>
      <c r="AK28" s="3775"/>
      <c r="AL28" s="3775"/>
      <c r="AM28" s="3775"/>
      <c r="AN28" s="3775"/>
      <c r="AO28" s="3775"/>
      <c r="AP28" s="3806"/>
      <c r="AQ28" s="3806"/>
      <c r="AR28" s="3748"/>
    </row>
    <row r="29" spans="1:44" s="569" customFormat="1" ht="89.25" customHeight="1" x14ac:dyDescent="0.25">
      <c r="A29" s="3811"/>
      <c r="B29" s="3812"/>
      <c r="C29" s="3813"/>
      <c r="D29" s="3820"/>
      <c r="E29" s="3821"/>
      <c r="F29" s="3755"/>
      <c r="G29" s="3802"/>
      <c r="H29" s="3802"/>
      <c r="I29" s="3802"/>
      <c r="J29" s="3800"/>
      <c r="K29" s="3750"/>
      <c r="L29" s="3795"/>
      <c r="M29" s="3827"/>
      <c r="N29" s="3752"/>
      <c r="O29" s="3752"/>
      <c r="P29" s="3750"/>
      <c r="Q29" s="3828"/>
      <c r="R29" s="3788"/>
      <c r="S29" s="3750"/>
      <c r="T29" s="3795"/>
      <c r="U29" s="90" t="s">
        <v>475</v>
      </c>
      <c r="V29" s="649"/>
      <c r="W29" s="648"/>
      <c r="X29" s="650"/>
      <c r="Y29" s="3775"/>
      <c r="Z29" s="3775"/>
      <c r="AA29" s="3775"/>
      <c r="AB29" s="3775"/>
      <c r="AC29" s="3775"/>
      <c r="AD29" s="3775"/>
      <c r="AE29" s="3775"/>
      <c r="AF29" s="3775"/>
      <c r="AG29" s="3775"/>
      <c r="AH29" s="3775"/>
      <c r="AI29" s="3775"/>
      <c r="AJ29" s="3775"/>
      <c r="AK29" s="3775"/>
      <c r="AL29" s="3775"/>
      <c r="AM29" s="3775"/>
      <c r="AN29" s="3775"/>
      <c r="AO29" s="3775"/>
      <c r="AP29" s="3806"/>
      <c r="AQ29" s="3806"/>
      <c r="AR29" s="3748"/>
    </row>
    <row r="30" spans="1:44" s="569" customFormat="1" ht="60" customHeight="1" x14ac:dyDescent="0.25">
      <c r="A30" s="3811"/>
      <c r="B30" s="3812"/>
      <c r="C30" s="3813"/>
      <c r="D30" s="3820"/>
      <c r="E30" s="3821"/>
      <c r="F30" s="3755"/>
      <c r="G30" s="3802"/>
      <c r="H30" s="3802"/>
      <c r="I30" s="3802"/>
      <c r="J30" s="639">
        <v>71</v>
      </c>
      <c r="K30" s="640" t="s">
        <v>476</v>
      </c>
      <c r="L30" s="640" t="s">
        <v>477</v>
      </c>
      <c r="M30" s="651">
        <v>2570</v>
      </c>
      <c r="N30" s="3752"/>
      <c r="O30" s="3752"/>
      <c r="P30" s="3750"/>
      <c r="Q30" s="643">
        <f>+V30/R25</f>
        <v>0</v>
      </c>
      <c r="R30" s="3788"/>
      <c r="S30" s="3750"/>
      <c r="T30" s="3795"/>
      <c r="U30" s="647" t="s">
        <v>478</v>
      </c>
      <c r="V30" s="652">
        <v>0</v>
      </c>
      <c r="W30" s="648"/>
      <c r="X30" s="650"/>
      <c r="Y30" s="3775"/>
      <c r="Z30" s="3775"/>
      <c r="AA30" s="3775"/>
      <c r="AB30" s="3775"/>
      <c r="AC30" s="3775"/>
      <c r="AD30" s="3775"/>
      <c r="AE30" s="3775"/>
      <c r="AF30" s="3775"/>
      <c r="AG30" s="3775">
        <v>0</v>
      </c>
      <c r="AH30" s="3775"/>
      <c r="AI30" s="3775"/>
      <c r="AJ30" s="3775"/>
      <c r="AK30" s="3775"/>
      <c r="AL30" s="3775"/>
      <c r="AM30" s="3775"/>
      <c r="AN30" s="3775"/>
      <c r="AO30" s="3775"/>
      <c r="AP30" s="3806"/>
      <c r="AQ30" s="3806"/>
      <c r="AR30" s="3748"/>
    </row>
    <row r="31" spans="1:44" s="569" customFormat="1" ht="85.5" customHeight="1" x14ac:dyDescent="0.25">
      <c r="A31" s="3811"/>
      <c r="B31" s="3812"/>
      <c r="C31" s="3813"/>
      <c r="D31" s="3820"/>
      <c r="E31" s="3821"/>
      <c r="F31" s="3755"/>
      <c r="G31" s="3802"/>
      <c r="H31" s="3802"/>
      <c r="I31" s="3802"/>
      <c r="J31" s="639">
        <v>72</v>
      </c>
      <c r="K31" s="640" t="s">
        <v>479</v>
      </c>
      <c r="L31" s="641" t="s">
        <v>480</v>
      </c>
      <c r="M31" s="648">
        <v>455</v>
      </c>
      <c r="N31" s="3752"/>
      <c r="O31" s="3752"/>
      <c r="P31" s="3750"/>
      <c r="Q31" s="643">
        <f>+V31/R25</f>
        <v>3.2195750160978749E-3</v>
      </c>
      <c r="R31" s="3788"/>
      <c r="S31" s="3750"/>
      <c r="T31" s="3795"/>
      <c r="U31" s="647" t="s">
        <v>481</v>
      </c>
      <c r="V31" s="652">
        <v>5000000</v>
      </c>
      <c r="W31" s="648">
        <v>20</v>
      </c>
      <c r="X31" s="640" t="s">
        <v>62</v>
      </c>
      <c r="Y31" s="3775"/>
      <c r="Z31" s="3775"/>
      <c r="AA31" s="3775"/>
      <c r="AB31" s="3775"/>
      <c r="AC31" s="3775"/>
      <c r="AD31" s="3775"/>
      <c r="AE31" s="3775"/>
      <c r="AF31" s="3775"/>
      <c r="AG31" s="3775"/>
      <c r="AH31" s="3775"/>
      <c r="AI31" s="3775"/>
      <c r="AJ31" s="3775"/>
      <c r="AK31" s="3775"/>
      <c r="AL31" s="3775"/>
      <c r="AM31" s="3775"/>
      <c r="AN31" s="3775"/>
      <c r="AO31" s="3775"/>
      <c r="AP31" s="3806"/>
      <c r="AQ31" s="3806"/>
      <c r="AR31" s="3748"/>
    </row>
    <row r="32" spans="1:44" s="569" customFormat="1" ht="129.75" customHeight="1" x14ac:dyDescent="0.25">
      <c r="A32" s="3811"/>
      <c r="B32" s="3812"/>
      <c r="C32" s="3813"/>
      <c r="D32" s="3820"/>
      <c r="E32" s="3821"/>
      <c r="F32" s="3755"/>
      <c r="G32" s="3802"/>
      <c r="H32" s="3802"/>
      <c r="I32" s="3802"/>
      <c r="J32" s="653">
        <v>73</v>
      </c>
      <c r="K32" s="654" t="s">
        <v>482</v>
      </c>
      <c r="L32" s="654" t="s">
        <v>483</v>
      </c>
      <c r="M32" s="655">
        <v>1</v>
      </c>
      <c r="N32" s="3753"/>
      <c r="O32" s="3752"/>
      <c r="P32" s="3750"/>
      <c r="Q32" s="643">
        <f>V32/R25</f>
        <v>0.97102382485511918</v>
      </c>
      <c r="R32" s="3788"/>
      <c r="S32" s="3750"/>
      <c r="T32" s="3795"/>
      <c r="U32" s="656" t="s">
        <v>484</v>
      </c>
      <c r="V32" s="657">
        <v>1508000000</v>
      </c>
      <c r="W32" s="655">
        <v>25</v>
      </c>
      <c r="X32" s="654" t="s">
        <v>485</v>
      </c>
      <c r="Y32" s="3784"/>
      <c r="Z32" s="3784"/>
      <c r="AA32" s="3784"/>
      <c r="AB32" s="3784"/>
      <c r="AC32" s="3784"/>
      <c r="AD32" s="3784"/>
      <c r="AE32" s="3784"/>
      <c r="AF32" s="3784"/>
      <c r="AG32" s="3784"/>
      <c r="AH32" s="3784"/>
      <c r="AI32" s="3784"/>
      <c r="AJ32" s="3784"/>
      <c r="AK32" s="3784"/>
      <c r="AL32" s="3784"/>
      <c r="AM32" s="3784"/>
      <c r="AN32" s="3784"/>
      <c r="AO32" s="3784"/>
      <c r="AP32" s="3807"/>
      <c r="AQ32" s="3807"/>
      <c r="AR32" s="3749"/>
    </row>
    <row r="33" spans="1:45" s="569" customFormat="1" ht="63.75" customHeight="1" x14ac:dyDescent="0.25">
      <c r="A33" s="3811"/>
      <c r="B33" s="3812"/>
      <c r="C33" s="3813"/>
      <c r="D33" s="3820"/>
      <c r="E33" s="3821"/>
      <c r="F33" s="3755"/>
      <c r="G33" s="3802"/>
      <c r="H33" s="3802"/>
      <c r="I33" s="3802"/>
      <c r="J33" s="2549">
        <v>74</v>
      </c>
      <c r="K33" s="3801" t="s">
        <v>486</v>
      </c>
      <c r="L33" s="3802" t="s">
        <v>487</v>
      </c>
      <c r="M33" s="3803">
        <v>2232</v>
      </c>
      <c r="N33" s="658" t="s">
        <v>488</v>
      </c>
      <c r="O33" s="3804" t="s">
        <v>489</v>
      </c>
      <c r="P33" s="3801" t="s">
        <v>490</v>
      </c>
      <c r="Q33" s="3832">
        <v>1</v>
      </c>
      <c r="R33" s="3833">
        <f>+V33+V34+V35+V36+V37+V38+V39+V40</f>
        <v>148231459176.28998</v>
      </c>
      <c r="S33" s="3801" t="s">
        <v>491</v>
      </c>
      <c r="T33" s="3801" t="s">
        <v>492</v>
      </c>
      <c r="U33" s="3834" t="s">
        <v>493</v>
      </c>
      <c r="V33" s="659">
        <v>15381000000</v>
      </c>
      <c r="W33" s="660">
        <v>25</v>
      </c>
      <c r="X33" s="661" t="s">
        <v>494</v>
      </c>
      <c r="Y33" s="3804">
        <v>20555</v>
      </c>
      <c r="Z33" s="3804">
        <v>21361</v>
      </c>
      <c r="AA33" s="3803">
        <v>30460</v>
      </c>
      <c r="AB33" s="3829">
        <v>9593</v>
      </c>
      <c r="AC33" s="3829">
        <v>1762</v>
      </c>
      <c r="AD33" s="3829">
        <v>101</v>
      </c>
      <c r="AE33" s="3829">
        <v>308</v>
      </c>
      <c r="AF33" s="3850">
        <v>277</v>
      </c>
      <c r="AG33" s="3829">
        <v>0</v>
      </c>
      <c r="AH33" s="3829">
        <v>0</v>
      </c>
      <c r="AI33" s="3829">
        <v>0</v>
      </c>
      <c r="AJ33" s="3829">
        <v>0</v>
      </c>
      <c r="AK33" s="3841">
        <v>2907</v>
      </c>
      <c r="AL33" s="3841">
        <v>2589</v>
      </c>
      <c r="AM33" s="3841">
        <v>2954</v>
      </c>
      <c r="AN33" s="3844">
        <v>41916</v>
      </c>
      <c r="AO33" s="3844">
        <v>41916</v>
      </c>
      <c r="AP33" s="3847">
        <v>43466</v>
      </c>
      <c r="AQ33" s="3847">
        <v>43830</v>
      </c>
      <c r="AR33" s="3835" t="s">
        <v>468</v>
      </c>
    </row>
    <row r="34" spans="1:45" s="569" customFormat="1" ht="63.75" customHeight="1" x14ac:dyDescent="0.25">
      <c r="A34" s="3811"/>
      <c r="B34" s="3812"/>
      <c r="C34" s="3813"/>
      <c r="D34" s="3820"/>
      <c r="E34" s="3821"/>
      <c r="F34" s="3755"/>
      <c r="G34" s="3802"/>
      <c r="H34" s="3802"/>
      <c r="I34" s="3802"/>
      <c r="J34" s="2549"/>
      <c r="K34" s="3801"/>
      <c r="L34" s="3802"/>
      <c r="M34" s="3803"/>
      <c r="N34" s="658" t="s">
        <v>495</v>
      </c>
      <c r="O34" s="3804"/>
      <c r="P34" s="3801"/>
      <c r="Q34" s="3832"/>
      <c r="R34" s="3833"/>
      <c r="S34" s="3801"/>
      <c r="T34" s="3801"/>
      <c r="U34" s="3796"/>
      <c r="V34" s="659">
        <v>91137968000</v>
      </c>
      <c r="W34" s="662">
        <v>25</v>
      </c>
      <c r="X34" s="663" t="s">
        <v>494</v>
      </c>
      <c r="Y34" s="3804"/>
      <c r="Z34" s="3804"/>
      <c r="AA34" s="3803"/>
      <c r="AB34" s="3830"/>
      <c r="AC34" s="3830"/>
      <c r="AD34" s="3830"/>
      <c r="AE34" s="3830"/>
      <c r="AF34" s="3851"/>
      <c r="AG34" s="3830"/>
      <c r="AH34" s="3830"/>
      <c r="AI34" s="3830"/>
      <c r="AJ34" s="3830"/>
      <c r="AK34" s="3842"/>
      <c r="AL34" s="3842"/>
      <c r="AM34" s="3842"/>
      <c r="AN34" s="3845"/>
      <c r="AO34" s="3845"/>
      <c r="AP34" s="3848"/>
      <c r="AQ34" s="3848"/>
      <c r="AR34" s="3836"/>
    </row>
    <row r="35" spans="1:45" s="569" customFormat="1" ht="54.75" customHeight="1" x14ac:dyDescent="0.25">
      <c r="A35" s="3811"/>
      <c r="B35" s="3812"/>
      <c r="C35" s="3813"/>
      <c r="D35" s="3820"/>
      <c r="E35" s="3821"/>
      <c r="F35" s="3755"/>
      <c r="G35" s="3802"/>
      <c r="H35" s="3802"/>
      <c r="I35" s="3802"/>
      <c r="J35" s="2549"/>
      <c r="K35" s="3801"/>
      <c r="L35" s="3802"/>
      <c r="M35" s="3803"/>
      <c r="N35" s="658" t="s">
        <v>496</v>
      </c>
      <c r="O35" s="3804"/>
      <c r="P35" s="3801"/>
      <c r="Q35" s="3832"/>
      <c r="R35" s="3833"/>
      <c r="S35" s="3801"/>
      <c r="T35" s="3801"/>
      <c r="U35" s="3796"/>
      <c r="V35" s="659">
        <v>917000000</v>
      </c>
      <c r="W35" s="662">
        <v>146</v>
      </c>
      <c r="X35" s="663" t="s">
        <v>497</v>
      </c>
      <c r="Y35" s="3804"/>
      <c r="Z35" s="3804"/>
      <c r="AA35" s="3803"/>
      <c r="AB35" s="3830"/>
      <c r="AC35" s="3830"/>
      <c r="AD35" s="3830"/>
      <c r="AE35" s="3830"/>
      <c r="AF35" s="3851"/>
      <c r="AG35" s="3830"/>
      <c r="AH35" s="3830"/>
      <c r="AI35" s="3830"/>
      <c r="AJ35" s="3830"/>
      <c r="AK35" s="3842"/>
      <c r="AL35" s="3842"/>
      <c r="AM35" s="3842"/>
      <c r="AN35" s="3845"/>
      <c r="AO35" s="3845"/>
      <c r="AP35" s="3848"/>
      <c r="AQ35" s="3848"/>
      <c r="AR35" s="3836"/>
    </row>
    <row r="36" spans="1:45" s="569" customFormat="1" ht="54.75" customHeight="1" x14ac:dyDescent="0.25">
      <c r="A36" s="3811"/>
      <c r="B36" s="3812"/>
      <c r="C36" s="3813"/>
      <c r="D36" s="3820"/>
      <c r="E36" s="3821"/>
      <c r="F36" s="3755"/>
      <c r="G36" s="3802"/>
      <c r="H36" s="3802"/>
      <c r="I36" s="3802"/>
      <c r="J36" s="2549"/>
      <c r="K36" s="3801"/>
      <c r="L36" s="3802"/>
      <c r="M36" s="3803"/>
      <c r="N36" s="658" t="s">
        <v>498</v>
      </c>
      <c r="O36" s="3804"/>
      <c r="P36" s="3801"/>
      <c r="Q36" s="3832"/>
      <c r="R36" s="3833"/>
      <c r="S36" s="3801"/>
      <c r="T36" s="3801"/>
      <c r="U36" s="3796"/>
      <c r="V36" s="659">
        <v>18658000000</v>
      </c>
      <c r="W36" s="662">
        <v>26</v>
      </c>
      <c r="X36" s="661" t="s">
        <v>497</v>
      </c>
      <c r="Y36" s="3804"/>
      <c r="Z36" s="3804"/>
      <c r="AA36" s="3803"/>
      <c r="AB36" s="3830"/>
      <c r="AC36" s="3830"/>
      <c r="AD36" s="3830"/>
      <c r="AE36" s="3830"/>
      <c r="AF36" s="3851"/>
      <c r="AG36" s="3830"/>
      <c r="AH36" s="3830"/>
      <c r="AI36" s="3830"/>
      <c r="AJ36" s="3830"/>
      <c r="AK36" s="3842"/>
      <c r="AL36" s="3842"/>
      <c r="AM36" s="3842"/>
      <c r="AN36" s="3845"/>
      <c r="AO36" s="3845"/>
      <c r="AP36" s="3848"/>
      <c r="AQ36" s="3848"/>
      <c r="AR36" s="3836"/>
    </row>
    <row r="37" spans="1:45" s="569" customFormat="1" ht="54.75" customHeight="1" x14ac:dyDescent="0.25">
      <c r="A37" s="3811"/>
      <c r="B37" s="3812"/>
      <c r="C37" s="3813"/>
      <c r="D37" s="3820"/>
      <c r="E37" s="3821"/>
      <c r="F37" s="3755"/>
      <c r="G37" s="3802"/>
      <c r="H37" s="3802"/>
      <c r="I37" s="3802"/>
      <c r="J37" s="2549"/>
      <c r="K37" s="3801"/>
      <c r="L37" s="3802"/>
      <c r="M37" s="3803"/>
      <c r="N37" s="658" t="s">
        <v>499</v>
      </c>
      <c r="O37" s="3804"/>
      <c r="P37" s="3801"/>
      <c r="Q37" s="3832"/>
      <c r="R37" s="3833"/>
      <c r="S37" s="3801"/>
      <c r="T37" s="3801"/>
      <c r="U37" s="3796"/>
      <c r="V37" s="664">
        <v>742459176.28999996</v>
      </c>
      <c r="W37" s="662">
        <v>9</v>
      </c>
      <c r="X37" s="661" t="s">
        <v>500</v>
      </c>
      <c r="Y37" s="3804"/>
      <c r="Z37" s="3804"/>
      <c r="AA37" s="3803"/>
      <c r="AB37" s="3830"/>
      <c r="AC37" s="3830"/>
      <c r="AD37" s="3830"/>
      <c r="AE37" s="3830"/>
      <c r="AF37" s="3851"/>
      <c r="AG37" s="3830"/>
      <c r="AH37" s="3830"/>
      <c r="AI37" s="3830"/>
      <c r="AJ37" s="3830"/>
      <c r="AK37" s="3842"/>
      <c r="AL37" s="3842"/>
      <c r="AM37" s="3842"/>
      <c r="AN37" s="3845"/>
      <c r="AO37" s="3845"/>
      <c r="AP37" s="3848"/>
      <c r="AQ37" s="3848"/>
      <c r="AR37" s="3836"/>
    </row>
    <row r="38" spans="1:45" s="569" customFormat="1" ht="47.25" customHeight="1" x14ac:dyDescent="0.25">
      <c r="A38" s="3811"/>
      <c r="B38" s="3812"/>
      <c r="C38" s="3813"/>
      <c r="D38" s="3820"/>
      <c r="E38" s="3821"/>
      <c r="F38" s="3755"/>
      <c r="G38" s="3802"/>
      <c r="H38" s="3802"/>
      <c r="I38" s="3802"/>
      <c r="J38" s="2549"/>
      <c r="K38" s="3801"/>
      <c r="L38" s="3802"/>
      <c r="M38" s="3803"/>
      <c r="N38" s="658" t="s">
        <v>501</v>
      </c>
      <c r="O38" s="3804"/>
      <c r="P38" s="3801"/>
      <c r="Q38" s="3832"/>
      <c r="R38" s="3833"/>
      <c r="S38" s="3801"/>
      <c r="T38" s="3801"/>
      <c r="U38" s="3796"/>
      <c r="V38" s="665">
        <v>13892032000</v>
      </c>
      <c r="W38" s="662">
        <v>25</v>
      </c>
      <c r="X38" s="661" t="s">
        <v>494</v>
      </c>
      <c r="Y38" s="3804"/>
      <c r="Z38" s="3804"/>
      <c r="AA38" s="3803"/>
      <c r="AB38" s="3830"/>
      <c r="AC38" s="3830"/>
      <c r="AD38" s="3830"/>
      <c r="AE38" s="3830"/>
      <c r="AF38" s="3851"/>
      <c r="AG38" s="3830"/>
      <c r="AH38" s="3830"/>
      <c r="AI38" s="3830"/>
      <c r="AJ38" s="3830"/>
      <c r="AK38" s="3842"/>
      <c r="AL38" s="3842"/>
      <c r="AM38" s="3842"/>
      <c r="AN38" s="3845"/>
      <c r="AO38" s="3845"/>
      <c r="AP38" s="3848"/>
      <c r="AQ38" s="3848"/>
      <c r="AR38" s="3836"/>
    </row>
    <row r="39" spans="1:45" s="569" customFormat="1" ht="47.25" customHeight="1" x14ac:dyDescent="0.25">
      <c r="A39" s="3811"/>
      <c r="B39" s="3812"/>
      <c r="C39" s="3813"/>
      <c r="D39" s="3820"/>
      <c r="E39" s="3821"/>
      <c r="F39" s="3755"/>
      <c r="G39" s="3802"/>
      <c r="H39" s="3802"/>
      <c r="I39" s="3802"/>
      <c r="J39" s="2549"/>
      <c r="K39" s="3801"/>
      <c r="L39" s="3802"/>
      <c r="M39" s="3803"/>
      <c r="N39" s="658" t="s">
        <v>502</v>
      </c>
      <c r="O39" s="3804"/>
      <c r="P39" s="3801"/>
      <c r="Q39" s="3832"/>
      <c r="R39" s="3833"/>
      <c r="S39" s="3801"/>
      <c r="T39" s="3801"/>
      <c r="U39" s="3796"/>
      <c r="V39" s="666">
        <v>3503000000</v>
      </c>
      <c r="W39" s="660">
        <v>26</v>
      </c>
      <c r="X39" s="667" t="s">
        <v>497</v>
      </c>
      <c r="Y39" s="3804"/>
      <c r="Z39" s="3804"/>
      <c r="AA39" s="3803"/>
      <c r="AB39" s="3830"/>
      <c r="AC39" s="3830"/>
      <c r="AD39" s="3830"/>
      <c r="AE39" s="3830"/>
      <c r="AF39" s="3851"/>
      <c r="AG39" s="3830"/>
      <c r="AH39" s="3830"/>
      <c r="AI39" s="3830"/>
      <c r="AJ39" s="3830"/>
      <c r="AK39" s="3842"/>
      <c r="AL39" s="3842"/>
      <c r="AM39" s="3842"/>
      <c r="AN39" s="3845"/>
      <c r="AO39" s="3845"/>
      <c r="AP39" s="3848"/>
      <c r="AQ39" s="3848"/>
      <c r="AR39" s="3836"/>
    </row>
    <row r="40" spans="1:45" s="569" customFormat="1" ht="47.25" customHeight="1" x14ac:dyDescent="0.25">
      <c r="A40" s="3814"/>
      <c r="B40" s="3815"/>
      <c r="C40" s="3816"/>
      <c r="D40" s="3822"/>
      <c r="E40" s="3823"/>
      <c r="F40" s="3824"/>
      <c r="G40" s="3802"/>
      <c r="H40" s="3802"/>
      <c r="I40" s="3802"/>
      <c r="J40" s="2549"/>
      <c r="K40" s="3801"/>
      <c r="L40" s="3802"/>
      <c r="M40" s="3803"/>
      <c r="N40" s="668" t="s">
        <v>503</v>
      </c>
      <c r="O40" s="3804"/>
      <c r="P40" s="3801"/>
      <c r="Q40" s="3832"/>
      <c r="R40" s="3833"/>
      <c r="S40" s="3801"/>
      <c r="T40" s="3801"/>
      <c r="U40" s="3797"/>
      <c r="V40" s="666">
        <v>4000000000</v>
      </c>
      <c r="W40" s="669">
        <v>88</v>
      </c>
      <c r="X40" s="667" t="s">
        <v>504</v>
      </c>
      <c r="Y40" s="3804"/>
      <c r="Z40" s="3804"/>
      <c r="AA40" s="3803"/>
      <c r="AB40" s="3831"/>
      <c r="AC40" s="3831"/>
      <c r="AD40" s="3831"/>
      <c r="AE40" s="3831"/>
      <c r="AF40" s="3852"/>
      <c r="AG40" s="3831"/>
      <c r="AH40" s="3831"/>
      <c r="AI40" s="3831"/>
      <c r="AJ40" s="3831"/>
      <c r="AK40" s="3843"/>
      <c r="AL40" s="3843"/>
      <c r="AM40" s="3843"/>
      <c r="AN40" s="3846"/>
      <c r="AO40" s="3846"/>
      <c r="AP40" s="3849"/>
      <c r="AQ40" s="3849"/>
      <c r="AR40" s="3837"/>
    </row>
    <row r="41" spans="1:45" s="569" customFormat="1" ht="15.75" x14ac:dyDescent="0.25">
      <c r="A41" s="616"/>
      <c r="B41" s="617"/>
      <c r="C41" s="618"/>
      <c r="D41" s="670">
        <v>6</v>
      </c>
      <c r="E41" s="671" t="s">
        <v>505</v>
      </c>
      <c r="F41" s="671"/>
      <c r="G41" s="671"/>
      <c r="H41" s="671"/>
      <c r="I41" s="671"/>
      <c r="J41" s="671"/>
      <c r="K41" s="672"/>
      <c r="L41" s="575"/>
      <c r="M41" s="673"/>
      <c r="N41" s="576"/>
      <c r="O41" s="576"/>
      <c r="P41" s="575"/>
      <c r="Q41" s="674"/>
      <c r="R41" s="675"/>
      <c r="S41" s="575"/>
      <c r="T41" s="575"/>
      <c r="U41" s="575"/>
      <c r="V41" s="676"/>
      <c r="W41" s="677"/>
      <c r="X41" s="672"/>
      <c r="Y41" s="576"/>
      <c r="Z41" s="576"/>
      <c r="AA41" s="673"/>
      <c r="AB41" s="673"/>
      <c r="AC41" s="673"/>
      <c r="AD41" s="673"/>
      <c r="AE41" s="673"/>
      <c r="AF41" s="673"/>
      <c r="AG41" s="673"/>
      <c r="AH41" s="678"/>
      <c r="AI41" s="678"/>
      <c r="AJ41" s="580"/>
      <c r="AK41" s="580"/>
      <c r="AL41" s="580"/>
      <c r="AM41" s="580"/>
      <c r="AN41" s="580"/>
      <c r="AO41" s="580"/>
      <c r="AP41" s="580"/>
      <c r="AQ41" s="580"/>
      <c r="AR41" s="679"/>
      <c r="AS41" s="680"/>
    </row>
    <row r="42" spans="1:45" s="569" customFormat="1" ht="15.75" x14ac:dyDescent="0.25">
      <c r="A42" s="616"/>
      <c r="B42" s="681"/>
      <c r="C42" s="681"/>
      <c r="D42" s="682"/>
      <c r="E42" s="683"/>
      <c r="F42" s="684"/>
      <c r="G42" s="685">
        <v>19</v>
      </c>
      <c r="H42" s="588" t="s">
        <v>506</v>
      </c>
      <c r="I42" s="588"/>
      <c r="J42" s="588"/>
      <c r="K42" s="589"/>
      <c r="L42" s="589"/>
      <c r="M42" s="621"/>
      <c r="N42" s="686"/>
      <c r="O42" s="621"/>
      <c r="P42" s="589"/>
      <c r="Q42" s="621"/>
      <c r="R42" s="623"/>
      <c r="S42" s="589"/>
      <c r="T42" s="589"/>
      <c r="U42" s="589"/>
      <c r="V42" s="687"/>
      <c r="W42" s="686"/>
      <c r="X42" s="589"/>
      <c r="Y42" s="621"/>
      <c r="Z42" s="621"/>
      <c r="AA42" s="621"/>
      <c r="AB42" s="621"/>
      <c r="AC42" s="621"/>
      <c r="AD42" s="621"/>
      <c r="AE42" s="621"/>
      <c r="AF42" s="621"/>
      <c r="AG42" s="621"/>
      <c r="AH42" s="621"/>
      <c r="AI42" s="621"/>
      <c r="AJ42" s="597"/>
      <c r="AK42" s="597"/>
      <c r="AL42" s="597"/>
      <c r="AM42" s="597"/>
      <c r="AN42" s="597"/>
      <c r="AO42" s="597"/>
      <c r="AP42" s="597"/>
      <c r="AQ42" s="597"/>
      <c r="AR42" s="625"/>
      <c r="AS42" s="680"/>
    </row>
    <row r="43" spans="1:45" s="569" customFormat="1" ht="82.5" customHeight="1" x14ac:dyDescent="0.25">
      <c r="A43" s="688"/>
      <c r="B43" s="689"/>
      <c r="C43" s="689"/>
      <c r="D43" s="690"/>
      <c r="E43" s="681"/>
      <c r="F43" s="691"/>
      <c r="G43" s="689"/>
      <c r="H43" s="689"/>
      <c r="I43" s="689"/>
      <c r="J43" s="692">
        <v>75</v>
      </c>
      <c r="K43" s="641" t="s">
        <v>507</v>
      </c>
      <c r="L43" s="641" t="s">
        <v>508</v>
      </c>
      <c r="M43" s="693">
        <v>36</v>
      </c>
      <c r="N43" s="694"/>
      <c r="O43" s="3752" t="s">
        <v>509</v>
      </c>
      <c r="P43" s="3750" t="s">
        <v>510</v>
      </c>
      <c r="Q43" s="695">
        <v>0</v>
      </c>
      <c r="R43" s="3838">
        <f>SUM(V43:V51)</f>
        <v>28355000</v>
      </c>
      <c r="S43" s="3750" t="s">
        <v>511</v>
      </c>
      <c r="T43" s="641" t="s">
        <v>512</v>
      </c>
      <c r="U43" s="696" t="s">
        <v>513</v>
      </c>
      <c r="V43" s="697"/>
      <c r="W43" s="698"/>
      <c r="X43" s="699"/>
      <c r="Y43" s="3827">
        <v>20555</v>
      </c>
      <c r="Z43" s="3827">
        <v>21361</v>
      </c>
      <c r="AA43" s="3827">
        <v>30460</v>
      </c>
      <c r="AB43" s="3827">
        <v>9593</v>
      </c>
      <c r="AC43" s="3827">
        <v>1762</v>
      </c>
      <c r="AD43" s="3827">
        <v>101</v>
      </c>
      <c r="AE43" s="3827">
        <v>308</v>
      </c>
      <c r="AF43" s="3827">
        <v>277</v>
      </c>
      <c r="AG43" s="3827">
        <v>0</v>
      </c>
      <c r="AH43" s="3827">
        <v>0</v>
      </c>
      <c r="AI43" s="3827">
        <v>0</v>
      </c>
      <c r="AJ43" s="3827">
        <v>0</v>
      </c>
      <c r="AK43" s="3827">
        <v>2907</v>
      </c>
      <c r="AL43" s="3827">
        <v>2589</v>
      </c>
      <c r="AM43" s="3827">
        <v>2954</v>
      </c>
      <c r="AN43" s="3827">
        <v>41916</v>
      </c>
      <c r="AO43" s="3826"/>
      <c r="AP43" s="3853">
        <v>43497</v>
      </c>
      <c r="AQ43" s="3853">
        <v>43631</v>
      </c>
      <c r="AR43" s="3752" t="s">
        <v>444</v>
      </c>
      <c r="AS43" s="680"/>
    </row>
    <row r="44" spans="1:45" s="569" customFormat="1" ht="54" customHeight="1" x14ac:dyDescent="0.25">
      <c r="A44" s="688"/>
      <c r="B44" s="689"/>
      <c r="C44" s="689"/>
      <c r="D44" s="690"/>
      <c r="E44" s="681"/>
      <c r="F44" s="691"/>
      <c r="G44" s="689"/>
      <c r="H44" s="689"/>
      <c r="I44" s="689"/>
      <c r="J44" s="3783">
        <v>76</v>
      </c>
      <c r="K44" s="3754" t="s">
        <v>514</v>
      </c>
      <c r="L44" s="3856" t="s">
        <v>515</v>
      </c>
      <c r="M44" s="3798">
        <v>1200</v>
      </c>
      <c r="N44" s="694"/>
      <c r="O44" s="3752"/>
      <c r="P44" s="3789"/>
      <c r="Q44" s="3858">
        <f>+(V44+V45)/R43</f>
        <v>1</v>
      </c>
      <c r="R44" s="3839"/>
      <c r="S44" s="3750"/>
      <c r="T44" s="3859" t="s">
        <v>516</v>
      </c>
      <c r="U44" s="3792" t="s">
        <v>517</v>
      </c>
      <c r="V44" s="700">
        <v>10000000</v>
      </c>
      <c r="W44" s="701">
        <v>20</v>
      </c>
      <c r="X44" s="702" t="s">
        <v>357</v>
      </c>
      <c r="Y44" s="3840"/>
      <c r="Z44" s="3827"/>
      <c r="AA44" s="3827"/>
      <c r="AB44" s="3827"/>
      <c r="AC44" s="3827"/>
      <c r="AD44" s="3827"/>
      <c r="AE44" s="3827"/>
      <c r="AF44" s="3827"/>
      <c r="AG44" s="3827"/>
      <c r="AH44" s="3827"/>
      <c r="AI44" s="3827"/>
      <c r="AJ44" s="3827"/>
      <c r="AK44" s="3827"/>
      <c r="AL44" s="3827"/>
      <c r="AM44" s="3827"/>
      <c r="AN44" s="3827"/>
      <c r="AO44" s="3827"/>
      <c r="AP44" s="3854"/>
      <c r="AQ44" s="3854"/>
      <c r="AR44" s="3752"/>
      <c r="AS44" s="680"/>
    </row>
    <row r="45" spans="1:45" s="569" customFormat="1" ht="51.75" customHeight="1" x14ac:dyDescent="0.25">
      <c r="A45" s="628"/>
      <c r="B45" s="532"/>
      <c r="C45" s="532"/>
      <c r="D45" s="690"/>
      <c r="E45" s="681"/>
      <c r="F45" s="691"/>
      <c r="G45" s="689"/>
      <c r="H45" s="689"/>
      <c r="I45" s="689"/>
      <c r="J45" s="3784"/>
      <c r="K45" s="3753"/>
      <c r="L45" s="3857"/>
      <c r="M45" s="3799"/>
      <c r="N45" s="3752" t="s">
        <v>518</v>
      </c>
      <c r="O45" s="3752"/>
      <c r="P45" s="3789"/>
      <c r="Q45" s="3858"/>
      <c r="R45" s="3839"/>
      <c r="S45" s="3750"/>
      <c r="T45" s="3860"/>
      <c r="U45" s="3792"/>
      <c r="V45" s="703">
        <f>0+18355000</f>
        <v>18355000</v>
      </c>
      <c r="W45" s="614">
        <v>88</v>
      </c>
      <c r="X45" s="615" t="s">
        <v>446</v>
      </c>
      <c r="Y45" s="3840"/>
      <c r="Z45" s="3827"/>
      <c r="AA45" s="3827"/>
      <c r="AB45" s="3827"/>
      <c r="AC45" s="3827"/>
      <c r="AD45" s="3827"/>
      <c r="AE45" s="3827"/>
      <c r="AF45" s="3827"/>
      <c r="AG45" s="3827"/>
      <c r="AH45" s="3827"/>
      <c r="AI45" s="3827"/>
      <c r="AJ45" s="3827"/>
      <c r="AK45" s="3827"/>
      <c r="AL45" s="3827"/>
      <c r="AM45" s="3827"/>
      <c r="AN45" s="3827"/>
      <c r="AO45" s="3827"/>
      <c r="AP45" s="3854"/>
      <c r="AQ45" s="3854"/>
      <c r="AR45" s="3752"/>
      <c r="AS45" s="680"/>
    </row>
    <row r="46" spans="1:45" s="569" customFormat="1" ht="67.5" customHeight="1" x14ac:dyDescent="0.25">
      <c r="A46" s="628"/>
      <c r="B46" s="532"/>
      <c r="C46" s="532"/>
      <c r="D46" s="690"/>
      <c r="E46" s="681"/>
      <c r="F46" s="691"/>
      <c r="G46" s="689"/>
      <c r="H46" s="689"/>
      <c r="I46" s="689"/>
      <c r="J46" s="704">
        <v>77</v>
      </c>
      <c r="K46" s="640" t="s">
        <v>519</v>
      </c>
      <c r="L46" s="640" t="s">
        <v>520</v>
      </c>
      <c r="M46" s="642">
        <v>80</v>
      </c>
      <c r="N46" s="3752"/>
      <c r="O46" s="3752"/>
      <c r="P46" s="3750"/>
      <c r="Q46" s="705">
        <v>0</v>
      </c>
      <c r="R46" s="3838"/>
      <c r="S46" s="3750"/>
      <c r="T46" s="640" t="s">
        <v>521</v>
      </c>
      <c r="U46" s="644" t="s">
        <v>522</v>
      </c>
      <c r="V46" s="706"/>
      <c r="W46" s="707"/>
      <c r="X46" s="708"/>
      <c r="Y46" s="3827"/>
      <c r="Z46" s="3827"/>
      <c r="AA46" s="3827"/>
      <c r="AB46" s="3827"/>
      <c r="AC46" s="3827"/>
      <c r="AD46" s="3827"/>
      <c r="AE46" s="3827"/>
      <c r="AF46" s="3827"/>
      <c r="AG46" s="3827"/>
      <c r="AH46" s="3827"/>
      <c r="AI46" s="3827"/>
      <c r="AJ46" s="3827"/>
      <c r="AK46" s="3827"/>
      <c r="AL46" s="3827"/>
      <c r="AM46" s="3827"/>
      <c r="AN46" s="3827"/>
      <c r="AO46" s="3827"/>
      <c r="AP46" s="3854"/>
      <c r="AQ46" s="3854"/>
      <c r="AR46" s="3752"/>
      <c r="AS46" s="680"/>
    </row>
    <row r="47" spans="1:45" s="569" customFormat="1" ht="106.5" customHeight="1" x14ac:dyDescent="0.25">
      <c r="A47" s="628"/>
      <c r="B47" s="532"/>
      <c r="C47" s="532"/>
      <c r="D47" s="690"/>
      <c r="E47" s="681"/>
      <c r="F47" s="691"/>
      <c r="G47" s="689"/>
      <c r="H47" s="689"/>
      <c r="I47" s="689"/>
      <c r="J47" s="704">
        <v>78</v>
      </c>
      <c r="K47" s="640" t="s">
        <v>523</v>
      </c>
      <c r="L47" s="640" t="s">
        <v>524</v>
      </c>
      <c r="M47" s="642">
        <v>15</v>
      </c>
      <c r="N47" s="3752"/>
      <c r="O47" s="3752"/>
      <c r="P47" s="3750"/>
      <c r="Q47" s="709">
        <v>0</v>
      </c>
      <c r="R47" s="3838"/>
      <c r="S47" s="3750"/>
      <c r="T47" s="640" t="s">
        <v>525</v>
      </c>
      <c r="U47" s="647" t="s">
        <v>526</v>
      </c>
      <c r="V47" s="710"/>
      <c r="W47" s="711"/>
      <c r="X47" s="313"/>
      <c r="Y47" s="3827"/>
      <c r="Z47" s="3827"/>
      <c r="AA47" s="3827"/>
      <c r="AB47" s="3827"/>
      <c r="AC47" s="3827"/>
      <c r="AD47" s="3827"/>
      <c r="AE47" s="3827"/>
      <c r="AF47" s="3827"/>
      <c r="AG47" s="3827"/>
      <c r="AH47" s="3827"/>
      <c r="AI47" s="3827"/>
      <c r="AJ47" s="3827"/>
      <c r="AK47" s="3827"/>
      <c r="AL47" s="3827"/>
      <c r="AM47" s="3827"/>
      <c r="AN47" s="3827"/>
      <c r="AO47" s="3827"/>
      <c r="AP47" s="3854"/>
      <c r="AQ47" s="3854"/>
      <c r="AR47" s="3752"/>
      <c r="AS47" s="712"/>
    </row>
    <row r="48" spans="1:45" s="569" customFormat="1" ht="99" customHeight="1" x14ac:dyDescent="0.25">
      <c r="A48" s="628"/>
      <c r="B48" s="532"/>
      <c r="C48" s="532"/>
      <c r="D48" s="690"/>
      <c r="E48" s="681"/>
      <c r="F48" s="691"/>
      <c r="G48" s="689"/>
      <c r="H48" s="689"/>
      <c r="I48" s="689"/>
      <c r="J48" s="704">
        <v>79</v>
      </c>
      <c r="K48" s="640" t="s">
        <v>527</v>
      </c>
      <c r="L48" s="640" t="s">
        <v>528</v>
      </c>
      <c r="M48" s="642">
        <v>230</v>
      </c>
      <c r="N48" s="3752"/>
      <c r="O48" s="3752"/>
      <c r="P48" s="3750"/>
      <c r="Q48" s="709">
        <f>+V48/R43</f>
        <v>0</v>
      </c>
      <c r="R48" s="3838"/>
      <c r="S48" s="3750"/>
      <c r="T48" s="640" t="s">
        <v>529</v>
      </c>
      <c r="U48" s="647" t="s">
        <v>530</v>
      </c>
      <c r="V48" s="652"/>
      <c r="W48" s="711"/>
      <c r="X48" s="313"/>
      <c r="Y48" s="3827"/>
      <c r="Z48" s="3827"/>
      <c r="AA48" s="3827"/>
      <c r="AB48" s="3827"/>
      <c r="AC48" s="3827"/>
      <c r="AD48" s="3827"/>
      <c r="AE48" s="3827"/>
      <c r="AF48" s="3827"/>
      <c r="AG48" s="3827"/>
      <c r="AH48" s="3827"/>
      <c r="AI48" s="3827"/>
      <c r="AJ48" s="3827"/>
      <c r="AK48" s="3827"/>
      <c r="AL48" s="3827"/>
      <c r="AM48" s="3827"/>
      <c r="AN48" s="3827"/>
      <c r="AO48" s="3827"/>
      <c r="AP48" s="3854"/>
      <c r="AQ48" s="3854"/>
      <c r="AR48" s="3752"/>
    </row>
    <row r="49" spans="1:44" s="569" customFormat="1" ht="79.5" customHeight="1" x14ac:dyDescent="0.25">
      <c r="A49" s="628"/>
      <c r="B49" s="532"/>
      <c r="C49" s="532"/>
      <c r="D49" s="690"/>
      <c r="E49" s="681"/>
      <c r="F49" s="691"/>
      <c r="G49" s="689"/>
      <c r="H49" s="689"/>
      <c r="I49" s="689"/>
      <c r="J49" s="704">
        <v>80</v>
      </c>
      <c r="K49" s="640" t="s">
        <v>531</v>
      </c>
      <c r="L49" s="640" t="s">
        <v>532</v>
      </c>
      <c r="M49" s="642">
        <v>4700</v>
      </c>
      <c r="N49" s="3752"/>
      <c r="O49" s="3752"/>
      <c r="P49" s="3750"/>
      <c r="Q49" s="709">
        <v>0</v>
      </c>
      <c r="R49" s="3838"/>
      <c r="S49" s="3750"/>
      <c r="T49" s="640" t="s">
        <v>533</v>
      </c>
      <c r="U49" s="647" t="s">
        <v>534</v>
      </c>
      <c r="V49" s="710"/>
      <c r="W49" s="711"/>
      <c r="X49" s="313"/>
      <c r="Y49" s="3827"/>
      <c r="Z49" s="3827"/>
      <c r="AA49" s="3827"/>
      <c r="AB49" s="3827"/>
      <c r="AC49" s="3827"/>
      <c r="AD49" s="3827"/>
      <c r="AE49" s="3827"/>
      <c r="AF49" s="3827"/>
      <c r="AG49" s="3827"/>
      <c r="AH49" s="3827"/>
      <c r="AI49" s="3827"/>
      <c r="AJ49" s="3827"/>
      <c r="AK49" s="3827"/>
      <c r="AL49" s="3827"/>
      <c r="AM49" s="3827"/>
      <c r="AN49" s="3827"/>
      <c r="AO49" s="3827"/>
      <c r="AP49" s="3854"/>
      <c r="AQ49" s="3854"/>
      <c r="AR49" s="3752"/>
    </row>
    <row r="50" spans="1:44" s="569" customFormat="1" ht="90" customHeight="1" x14ac:dyDescent="0.25">
      <c r="A50" s="628"/>
      <c r="B50" s="532"/>
      <c r="C50" s="532"/>
      <c r="D50" s="690"/>
      <c r="E50" s="681"/>
      <c r="F50" s="691"/>
      <c r="G50" s="689"/>
      <c r="H50" s="689"/>
      <c r="I50" s="689"/>
      <c r="J50" s="704">
        <v>81</v>
      </c>
      <c r="K50" s="640" t="s">
        <v>535</v>
      </c>
      <c r="L50" s="640" t="s">
        <v>536</v>
      </c>
      <c r="M50" s="642">
        <v>41</v>
      </c>
      <c r="N50" s="3752"/>
      <c r="O50" s="3752"/>
      <c r="P50" s="3750"/>
      <c r="Q50" s="709">
        <v>0</v>
      </c>
      <c r="R50" s="3838"/>
      <c r="S50" s="3750"/>
      <c r="T50" s="640" t="s">
        <v>512</v>
      </c>
      <c r="U50" s="647" t="s">
        <v>537</v>
      </c>
      <c r="V50" s="710"/>
      <c r="W50" s="711"/>
      <c r="X50" s="313"/>
      <c r="Y50" s="3827"/>
      <c r="Z50" s="3827"/>
      <c r="AA50" s="3827"/>
      <c r="AB50" s="3827"/>
      <c r="AC50" s="3827"/>
      <c r="AD50" s="3827"/>
      <c r="AE50" s="3827"/>
      <c r="AF50" s="3827"/>
      <c r="AG50" s="3827"/>
      <c r="AH50" s="3827"/>
      <c r="AI50" s="3827"/>
      <c r="AJ50" s="3827"/>
      <c r="AK50" s="3827"/>
      <c r="AL50" s="3827"/>
      <c r="AM50" s="3827"/>
      <c r="AN50" s="3827"/>
      <c r="AO50" s="3827"/>
      <c r="AP50" s="3854"/>
      <c r="AQ50" s="3854"/>
      <c r="AR50" s="3752"/>
    </row>
    <row r="51" spans="1:44" s="569" customFormat="1" ht="91.5" customHeight="1" x14ac:dyDescent="0.25">
      <c r="A51" s="628"/>
      <c r="B51" s="532"/>
      <c r="C51" s="532"/>
      <c r="D51" s="690"/>
      <c r="E51" s="681"/>
      <c r="F51" s="691"/>
      <c r="G51" s="689"/>
      <c r="H51" s="689"/>
      <c r="I51" s="689"/>
      <c r="J51" s="713">
        <v>82</v>
      </c>
      <c r="K51" s="654" t="s">
        <v>538</v>
      </c>
      <c r="L51" s="654" t="s">
        <v>539</v>
      </c>
      <c r="M51" s="714">
        <v>40</v>
      </c>
      <c r="N51" s="3753"/>
      <c r="O51" s="3752"/>
      <c r="P51" s="3750"/>
      <c r="Q51" s="715">
        <v>0</v>
      </c>
      <c r="R51" s="3838"/>
      <c r="S51" s="3750"/>
      <c r="T51" s="654" t="s">
        <v>512</v>
      </c>
      <c r="U51" s="716" t="s">
        <v>540</v>
      </c>
      <c r="V51" s="717"/>
      <c r="W51" s="711"/>
      <c r="X51" s="313"/>
      <c r="Y51" s="3827"/>
      <c r="Z51" s="3827"/>
      <c r="AA51" s="3827"/>
      <c r="AB51" s="3827"/>
      <c r="AC51" s="3827"/>
      <c r="AD51" s="3827"/>
      <c r="AE51" s="3827"/>
      <c r="AF51" s="3827"/>
      <c r="AG51" s="3827"/>
      <c r="AH51" s="3827"/>
      <c r="AI51" s="3827"/>
      <c r="AJ51" s="3827"/>
      <c r="AK51" s="3827"/>
      <c r="AL51" s="3827"/>
      <c r="AM51" s="3827"/>
      <c r="AN51" s="3827"/>
      <c r="AO51" s="3861"/>
      <c r="AP51" s="3855"/>
      <c r="AQ51" s="3855"/>
      <c r="AR51" s="3752"/>
    </row>
    <row r="52" spans="1:44" s="569" customFormat="1" ht="15.75" x14ac:dyDescent="0.25">
      <c r="A52" s="628"/>
      <c r="B52" s="532"/>
      <c r="C52" s="532"/>
      <c r="D52" s="628"/>
      <c r="E52" s="532"/>
      <c r="F52" s="635"/>
      <c r="G52" s="685">
        <v>20</v>
      </c>
      <c r="H52" s="588" t="s">
        <v>541</v>
      </c>
      <c r="I52" s="588"/>
      <c r="J52" s="588"/>
      <c r="K52" s="589"/>
      <c r="L52" s="589"/>
      <c r="M52" s="621"/>
      <c r="N52" s="686"/>
      <c r="O52" s="621"/>
      <c r="P52" s="589"/>
      <c r="Q52" s="621"/>
      <c r="R52" s="623"/>
      <c r="S52" s="589"/>
      <c r="T52" s="589"/>
      <c r="U52" s="589"/>
      <c r="V52" s="687"/>
      <c r="W52" s="622"/>
      <c r="X52" s="718"/>
      <c r="Y52" s="621"/>
      <c r="Z52" s="621"/>
      <c r="AA52" s="621"/>
      <c r="AB52" s="621"/>
      <c r="AC52" s="621"/>
      <c r="AD52" s="621"/>
      <c r="AE52" s="621"/>
      <c r="AF52" s="621"/>
      <c r="AG52" s="621"/>
      <c r="AH52" s="621"/>
      <c r="AI52" s="621"/>
      <c r="AJ52" s="597"/>
      <c r="AK52" s="597"/>
      <c r="AL52" s="597"/>
      <c r="AM52" s="597"/>
      <c r="AN52" s="597"/>
      <c r="AO52" s="597"/>
      <c r="AP52" s="597"/>
      <c r="AQ52" s="597"/>
      <c r="AR52" s="625"/>
    </row>
    <row r="53" spans="1:44" s="569" customFormat="1" ht="39.75" customHeight="1" x14ac:dyDescent="0.25">
      <c r="A53" s="719"/>
      <c r="B53" s="527"/>
      <c r="C53" s="527"/>
      <c r="D53" s="720"/>
      <c r="E53" s="721"/>
      <c r="F53" s="722"/>
      <c r="G53" s="3862"/>
      <c r="H53" s="3862"/>
      <c r="I53" s="3863"/>
      <c r="J53" s="3783">
        <v>83</v>
      </c>
      <c r="K53" s="3864" t="s">
        <v>542</v>
      </c>
      <c r="L53" s="3866" t="s">
        <v>543</v>
      </c>
      <c r="M53" s="3798">
        <v>54</v>
      </c>
      <c r="N53" s="723"/>
      <c r="O53" s="3748" t="s">
        <v>544</v>
      </c>
      <c r="P53" s="3871" t="s">
        <v>545</v>
      </c>
      <c r="Q53" s="3872">
        <f>(V53+V54)/$R$53</f>
        <v>0.29454151199003192</v>
      </c>
      <c r="R53" s="3874">
        <f>SUM(V53:V69)</f>
        <v>419550368.86000001</v>
      </c>
      <c r="S53" s="3871" t="s">
        <v>546</v>
      </c>
      <c r="T53" s="3864" t="s">
        <v>547</v>
      </c>
      <c r="U53" s="3864" t="s">
        <v>548</v>
      </c>
      <c r="V53" s="652">
        <v>19800000</v>
      </c>
      <c r="W53" s="724">
        <v>20</v>
      </c>
      <c r="X53" s="90" t="s">
        <v>62</v>
      </c>
      <c r="Y53" s="3783">
        <v>20555</v>
      </c>
      <c r="Z53" s="3783">
        <v>21361</v>
      </c>
      <c r="AA53" s="3868">
        <v>30460</v>
      </c>
      <c r="AB53" s="3868">
        <v>9593</v>
      </c>
      <c r="AC53" s="3868">
        <v>1762</v>
      </c>
      <c r="AD53" s="3868">
        <v>101</v>
      </c>
      <c r="AE53" s="3868">
        <v>308</v>
      </c>
      <c r="AF53" s="3868">
        <v>277</v>
      </c>
      <c r="AG53" s="3868">
        <v>0</v>
      </c>
      <c r="AH53" s="3868">
        <v>0</v>
      </c>
      <c r="AI53" s="3868">
        <v>0</v>
      </c>
      <c r="AJ53" s="3868">
        <v>0</v>
      </c>
      <c r="AK53" s="3868">
        <v>2907</v>
      </c>
      <c r="AL53" s="3868">
        <v>2589</v>
      </c>
      <c r="AM53" s="3868">
        <v>2954</v>
      </c>
      <c r="AN53" s="3868">
        <v>41916</v>
      </c>
      <c r="AO53" s="3868"/>
      <c r="AP53" s="3875">
        <v>42430</v>
      </c>
      <c r="AQ53" s="3875">
        <v>43646</v>
      </c>
      <c r="AR53" s="3835" t="s">
        <v>444</v>
      </c>
    </row>
    <row r="54" spans="1:44" s="569" customFormat="1" ht="39" customHeight="1" x14ac:dyDescent="0.25">
      <c r="A54" s="719"/>
      <c r="B54" s="527"/>
      <c r="C54" s="527"/>
      <c r="D54" s="720"/>
      <c r="E54" s="721"/>
      <c r="F54" s="722"/>
      <c r="G54" s="3862"/>
      <c r="H54" s="3862"/>
      <c r="I54" s="3863"/>
      <c r="J54" s="3784"/>
      <c r="K54" s="3865"/>
      <c r="L54" s="3867"/>
      <c r="M54" s="3799"/>
      <c r="N54" s="723"/>
      <c r="O54" s="3748"/>
      <c r="P54" s="3871"/>
      <c r="Q54" s="3873"/>
      <c r="R54" s="3874"/>
      <c r="S54" s="3871"/>
      <c r="T54" s="3865"/>
      <c r="U54" s="3865"/>
      <c r="V54" s="725">
        <f>0+103775000</f>
        <v>103775000</v>
      </c>
      <c r="W54" s="724">
        <v>88</v>
      </c>
      <c r="X54" s="90" t="s">
        <v>446</v>
      </c>
      <c r="Y54" s="3775"/>
      <c r="Z54" s="3775"/>
      <c r="AA54" s="3869"/>
      <c r="AB54" s="3869"/>
      <c r="AC54" s="3869"/>
      <c r="AD54" s="3869"/>
      <c r="AE54" s="3869"/>
      <c r="AF54" s="3869"/>
      <c r="AG54" s="3869"/>
      <c r="AH54" s="3869"/>
      <c r="AI54" s="3869"/>
      <c r="AJ54" s="3869"/>
      <c r="AK54" s="3869"/>
      <c r="AL54" s="3869"/>
      <c r="AM54" s="3869"/>
      <c r="AN54" s="3869"/>
      <c r="AO54" s="3869"/>
      <c r="AP54" s="3876"/>
      <c r="AQ54" s="3876"/>
      <c r="AR54" s="3836"/>
    </row>
    <row r="55" spans="1:44" s="569" customFormat="1" ht="61.5" customHeight="1" x14ac:dyDescent="0.25">
      <c r="A55" s="719"/>
      <c r="B55" s="527"/>
      <c r="C55" s="527"/>
      <c r="D55" s="720"/>
      <c r="E55" s="721"/>
      <c r="F55" s="722"/>
      <c r="G55" s="3862"/>
      <c r="H55" s="3862"/>
      <c r="I55" s="3863"/>
      <c r="J55" s="704">
        <v>84</v>
      </c>
      <c r="K55" s="647" t="s">
        <v>549</v>
      </c>
      <c r="L55" s="647" t="s">
        <v>550</v>
      </c>
      <c r="M55" s="704">
        <v>30</v>
      </c>
      <c r="N55" s="723"/>
      <c r="O55" s="3748"/>
      <c r="P55" s="3871"/>
      <c r="Q55" s="726">
        <f>+V55/R53</f>
        <v>0</v>
      </c>
      <c r="R55" s="3874"/>
      <c r="S55" s="3871"/>
      <c r="T55" s="90" t="s">
        <v>551</v>
      </c>
      <c r="U55" s="90" t="s">
        <v>552</v>
      </c>
      <c r="V55" s="710"/>
      <c r="W55" s="727"/>
      <c r="X55" s="90"/>
      <c r="Y55" s="3775"/>
      <c r="Z55" s="3775"/>
      <c r="AA55" s="3869"/>
      <c r="AB55" s="3869"/>
      <c r="AC55" s="3869"/>
      <c r="AD55" s="3869"/>
      <c r="AE55" s="3869"/>
      <c r="AF55" s="3869"/>
      <c r="AG55" s="3869"/>
      <c r="AH55" s="3869"/>
      <c r="AI55" s="3869"/>
      <c r="AJ55" s="3869"/>
      <c r="AK55" s="3869"/>
      <c r="AL55" s="3869"/>
      <c r="AM55" s="3869"/>
      <c r="AN55" s="3869"/>
      <c r="AO55" s="3869"/>
      <c r="AP55" s="3876"/>
      <c r="AQ55" s="3876"/>
      <c r="AR55" s="3836"/>
    </row>
    <row r="56" spans="1:44" s="569" customFormat="1" ht="60" customHeight="1" x14ac:dyDescent="0.25">
      <c r="A56" s="719"/>
      <c r="B56" s="527"/>
      <c r="C56" s="527"/>
      <c r="D56" s="720"/>
      <c r="E56" s="721"/>
      <c r="F56" s="722"/>
      <c r="G56" s="3862"/>
      <c r="H56" s="3862"/>
      <c r="I56" s="3863"/>
      <c r="J56" s="704">
        <v>85</v>
      </c>
      <c r="K56" s="647" t="s">
        <v>553</v>
      </c>
      <c r="L56" s="647" t="s">
        <v>554</v>
      </c>
      <c r="M56" s="704">
        <v>30</v>
      </c>
      <c r="N56" s="723"/>
      <c r="O56" s="3748"/>
      <c r="P56" s="3871"/>
      <c r="Q56" s="726">
        <f>+V56/R53</f>
        <v>0</v>
      </c>
      <c r="R56" s="3874"/>
      <c r="S56" s="3871"/>
      <c r="T56" s="728" t="s">
        <v>555</v>
      </c>
      <c r="U56" s="90" t="s">
        <v>556</v>
      </c>
      <c r="V56" s="652">
        <f>16050000-16050000</f>
        <v>0</v>
      </c>
      <c r="W56" s="727"/>
      <c r="X56" s="90"/>
      <c r="Y56" s="3775"/>
      <c r="Z56" s="3775"/>
      <c r="AA56" s="3869"/>
      <c r="AB56" s="3869"/>
      <c r="AC56" s="3869"/>
      <c r="AD56" s="3869"/>
      <c r="AE56" s="3869"/>
      <c r="AF56" s="3869"/>
      <c r="AG56" s="3869"/>
      <c r="AH56" s="3869"/>
      <c r="AI56" s="3869"/>
      <c r="AJ56" s="3869"/>
      <c r="AK56" s="3869"/>
      <c r="AL56" s="3869"/>
      <c r="AM56" s="3869"/>
      <c r="AN56" s="3869"/>
      <c r="AO56" s="3869"/>
      <c r="AP56" s="3876"/>
      <c r="AQ56" s="3876"/>
      <c r="AR56" s="3836"/>
    </row>
    <row r="57" spans="1:44" s="569" customFormat="1" ht="63" customHeight="1" x14ac:dyDescent="0.25">
      <c r="A57" s="719"/>
      <c r="B57" s="527"/>
      <c r="C57" s="527"/>
      <c r="D57" s="720"/>
      <c r="E57" s="721"/>
      <c r="F57" s="722"/>
      <c r="G57" s="3862"/>
      <c r="H57" s="3862"/>
      <c r="I57" s="3863"/>
      <c r="J57" s="3783">
        <v>87</v>
      </c>
      <c r="K57" s="3878" t="s">
        <v>557</v>
      </c>
      <c r="L57" s="3878" t="s">
        <v>558</v>
      </c>
      <c r="M57" s="3783">
        <v>30</v>
      </c>
      <c r="N57" s="723"/>
      <c r="O57" s="3748"/>
      <c r="P57" s="3871"/>
      <c r="Q57" s="3872">
        <f>(+V57+V58)/R53</f>
        <v>0.23805246619465456</v>
      </c>
      <c r="R57" s="3874"/>
      <c r="S57" s="3871"/>
      <c r="T57" s="2553" t="s">
        <v>559</v>
      </c>
      <c r="U57" s="2553" t="s">
        <v>560</v>
      </c>
      <c r="V57" s="652">
        <v>80000000</v>
      </c>
      <c r="W57" s="727">
        <v>21</v>
      </c>
      <c r="X57" s="90" t="s">
        <v>561</v>
      </c>
      <c r="Y57" s="3775"/>
      <c r="Z57" s="3775"/>
      <c r="AA57" s="3869"/>
      <c r="AB57" s="3869"/>
      <c r="AC57" s="3869"/>
      <c r="AD57" s="3869"/>
      <c r="AE57" s="3869"/>
      <c r="AF57" s="3869"/>
      <c r="AG57" s="3869"/>
      <c r="AH57" s="3869"/>
      <c r="AI57" s="3869"/>
      <c r="AJ57" s="3869"/>
      <c r="AK57" s="3869"/>
      <c r="AL57" s="3869"/>
      <c r="AM57" s="3869"/>
      <c r="AN57" s="3869"/>
      <c r="AO57" s="3869"/>
      <c r="AP57" s="3876"/>
      <c r="AQ57" s="3876"/>
      <c r="AR57" s="3836"/>
    </row>
    <row r="58" spans="1:44" s="569" customFormat="1" ht="53.25" customHeight="1" x14ac:dyDescent="0.25">
      <c r="A58" s="719"/>
      <c r="B58" s="527"/>
      <c r="C58" s="527"/>
      <c r="D58" s="720"/>
      <c r="E58" s="721"/>
      <c r="F58" s="722"/>
      <c r="G58" s="3862"/>
      <c r="H58" s="3862"/>
      <c r="I58" s="3863"/>
      <c r="J58" s="3784"/>
      <c r="K58" s="3879"/>
      <c r="L58" s="3879"/>
      <c r="M58" s="3784"/>
      <c r="N58" s="723"/>
      <c r="O58" s="3748"/>
      <c r="P58" s="3871"/>
      <c r="Q58" s="3873"/>
      <c r="R58" s="3874"/>
      <c r="S58" s="3871"/>
      <c r="T58" s="2554"/>
      <c r="U58" s="2554"/>
      <c r="V58" s="652">
        <v>19875000</v>
      </c>
      <c r="W58" s="727">
        <v>20</v>
      </c>
      <c r="X58" s="90" t="s">
        <v>62</v>
      </c>
      <c r="Y58" s="3775"/>
      <c r="Z58" s="3775"/>
      <c r="AA58" s="3869"/>
      <c r="AB58" s="3869"/>
      <c r="AC58" s="3869"/>
      <c r="AD58" s="3869"/>
      <c r="AE58" s="3869"/>
      <c r="AF58" s="3869"/>
      <c r="AG58" s="3869"/>
      <c r="AH58" s="3869"/>
      <c r="AI58" s="3869"/>
      <c r="AJ58" s="3869"/>
      <c r="AK58" s="3869"/>
      <c r="AL58" s="3869"/>
      <c r="AM58" s="3869"/>
      <c r="AN58" s="3869"/>
      <c r="AO58" s="3869"/>
      <c r="AP58" s="3876"/>
      <c r="AQ58" s="3876"/>
      <c r="AR58" s="3836"/>
    </row>
    <row r="59" spans="1:44" s="569" customFormat="1" ht="67.5" customHeight="1" x14ac:dyDescent="0.25">
      <c r="A59" s="719"/>
      <c r="B59" s="527"/>
      <c r="C59" s="527"/>
      <c r="D59" s="720"/>
      <c r="E59" s="721"/>
      <c r="F59" s="722"/>
      <c r="G59" s="3862"/>
      <c r="H59" s="3862"/>
      <c r="I59" s="3863"/>
      <c r="J59" s="3769">
        <v>88</v>
      </c>
      <c r="K59" s="2553" t="s">
        <v>562</v>
      </c>
      <c r="L59" s="2553" t="s">
        <v>563</v>
      </c>
      <c r="M59" s="3769">
        <v>36</v>
      </c>
      <c r="N59" s="723"/>
      <c r="O59" s="3748"/>
      <c r="P59" s="3871"/>
      <c r="Q59" s="3872">
        <f>(+V59+V60)/R53</f>
        <v>8.1875747346709174E-2</v>
      </c>
      <c r="R59" s="3874"/>
      <c r="S59" s="3871"/>
      <c r="T59" s="2553" t="s">
        <v>564</v>
      </c>
      <c r="U59" s="90" t="s">
        <v>565</v>
      </c>
      <c r="V59" s="729">
        <v>17175500</v>
      </c>
      <c r="W59" s="727">
        <v>20</v>
      </c>
      <c r="X59" s="90" t="s">
        <v>62</v>
      </c>
      <c r="Y59" s="3775"/>
      <c r="Z59" s="3775"/>
      <c r="AA59" s="3869"/>
      <c r="AB59" s="3869"/>
      <c r="AC59" s="3869"/>
      <c r="AD59" s="3869"/>
      <c r="AE59" s="3869"/>
      <c r="AF59" s="3869"/>
      <c r="AG59" s="3869"/>
      <c r="AH59" s="3869"/>
      <c r="AI59" s="3869"/>
      <c r="AJ59" s="3869"/>
      <c r="AK59" s="3869"/>
      <c r="AL59" s="3869"/>
      <c r="AM59" s="3869"/>
      <c r="AN59" s="3869"/>
      <c r="AO59" s="3869"/>
      <c r="AP59" s="3876"/>
      <c r="AQ59" s="3876"/>
      <c r="AR59" s="3836"/>
    </row>
    <row r="60" spans="1:44" s="569" customFormat="1" ht="88.5" customHeight="1" x14ac:dyDescent="0.25">
      <c r="A60" s="719"/>
      <c r="B60" s="527"/>
      <c r="C60" s="527"/>
      <c r="D60" s="720"/>
      <c r="E60" s="721"/>
      <c r="F60" s="722"/>
      <c r="G60" s="3862"/>
      <c r="H60" s="3862"/>
      <c r="I60" s="3863"/>
      <c r="J60" s="3749"/>
      <c r="K60" s="2554"/>
      <c r="L60" s="2554"/>
      <c r="M60" s="3749"/>
      <c r="N60" s="723" t="s">
        <v>566</v>
      </c>
      <c r="O60" s="3748"/>
      <c r="P60" s="3871"/>
      <c r="Q60" s="3873"/>
      <c r="R60" s="3874"/>
      <c r="S60" s="3871"/>
      <c r="T60" s="2554"/>
      <c r="U60" s="90" t="s">
        <v>567</v>
      </c>
      <c r="V60" s="730">
        <v>17175500</v>
      </c>
      <c r="W60" s="727">
        <v>20</v>
      </c>
      <c r="X60" s="90" t="s">
        <v>62</v>
      </c>
      <c r="Y60" s="3775"/>
      <c r="Z60" s="3775"/>
      <c r="AA60" s="3869"/>
      <c r="AB60" s="3869"/>
      <c r="AC60" s="3869"/>
      <c r="AD60" s="3869"/>
      <c r="AE60" s="3869"/>
      <c r="AF60" s="3869"/>
      <c r="AG60" s="3869"/>
      <c r="AH60" s="3869"/>
      <c r="AI60" s="3869"/>
      <c r="AJ60" s="3869"/>
      <c r="AK60" s="3869"/>
      <c r="AL60" s="3869"/>
      <c r="AM60" s="3869"/>
      <c r="AN60" s="3869"/>
      <c r="AO60" s="3869"/>
      <c r="AP60" s="3876"/>
      <c r="AQ60" s="3876"/>
      <c r="AR60" s="3836"/>
    </row>
    <row r="61" spans="1:44" s="569" customFormat="1" ht="30" customHeight="1" x14ac:dyDescent="0.25">
      <c r="A61" s="719"/>
      <c r="B61" s="527"/>
      <c r="C61" s="527"/>
      <c r="D61" s="720"/>
      <c r="E61" s="721"/>
      <c r="F61" s="722"/>
      <c r="G61" s="3862"/>
      <c r="H61" s="3862"/>
      <c r="I61" s="3863"/>
      <c r="J61" s="3783">
        <v>86</v>
      </c>
      <c r="K61" s="2553" t="s">
        <v>568</v>
      </c>
      <c r="L61" s="2553" t="s">
        <v>569</v>
      </c>
      <c r="M61" s="3769">
        <v>1</v>
      </c>
      <c r="N61" s="723"/>
      <c r="O61" s="3748"/>
      <c r="P61" s="3871"/>
      <c r="Q61" s="3872">
        <f>(V61+V62+V63)/R53</f>
        <v>0</v>
      </c>
      <c r="R61" s="3874"/>
      <c r="S61" s="3871"/>
      <c r="T61" s="2553" t="s">
        <v>559</v>
      </c>
      <c r="U61" s="90" t="s">
        <v>570</v>
      </c>
      <c r="V61" s="710"/>
      <c r="W61" s="727"/>
      <c r="X61" s="90"/>
      <c r="Y61" s="3775"/>
      <c r="Z61" s="3775"/>
      <c r="AA61" s="3869"/>
      <c r="AB61" s="3869"/>
      <c r="AC61" s="3869"/>
      <c r="AD61" s="3869"/>
      <c r="AE61" s="3869"/>
      <c r="AF61" s="3869"/>
      <c r="AG61" s="3869"/>
      <c r="AH61" s="3869"/>
      <c r="AI61" s="3869"/>
      <c r="AJ61" s="3869"/>
      <c r="AK61" s="3869"/>
      <c r="AL61" s="3869"/>
      <c r="AM61" s="3869"/>
      <c r="AN61" s="3869"/>
      <c r="AO61" s="3869"/>
      <c r="AP61" s="3876"/>
      <c r="AQ61" s="3876"/>
      <c r="AR61" s="3836"/>
    </row>
    <row r="62" spans="1:44" s="569" customFormat="1" ht="32.25" customHeight="1" x14ac:dyDescent="0.25">
      <c r="A62" s="719"/>
      <c r="B62" s="527"/>
      <c r="C62" s="527"/>
      <c r="D62" s="720"/>
      <c r="E62" s="721"/>
      <c r="F62" s="722"/>
      <c r="G62" s="3862"/>
      <c r="H62" s="3862"/>
      <c r="I62" s="3863"/>
      <c r="J62" s="3775"/>
      <c r="K62" s="3871"/>
      <c r="L62" s="3871"/>
      <c r="M62" s="3748"/>
      <c r="N62" s="723" t="s">
        <v>571</v>
      </c>
      <c r="O62" s="3748"/>
      <c r="P62" s="3871"/>
      <c r="Q62" s="3880"/>
      <c r="R62" s="3874"/>
      <c r="S62" s="3871"/>
      <c r="T62" s="3871"/>
      <c r="U62" s="90" t="s">
        <v>572</v>
      </c>
      <c r="V62" s="710"/>
      <c r="W62" s="727"/>
      <c r="X62" s="90"/>
      <c r="Y62" s="3775"/>
      <c r="Z62" s="3775"/>
      <c r="AA62" s="3869"/>
      <c r="AB62" s="3869"/>
      <c r="AC62" s="3869"/>
      <c r="AD62" s="3869"/>
      <c r="AE62" s="3869"/>
      <c r="AF62" s="3869"/>
      <c r="AG62" s="3869"/>
      <c r="AH62" s="3869"/>
      <c r="AI62" s="3869"/>
      <c r="AJ62" s="3869"/>
      <c r="AK62" s="3869"/>
      <c r="AL62" s="3869"/>
      <c r="AM62" s="3869"/>
      <c r="AN62" s="3869"/>
      <c r="AO62" s="3869"/>
      <c r="AP62" s="3876"/>
      <c r="AQ62" s="3876"/>
      <c r="AR62" s="3836"/>
    </row>
    <row r="63" spans="1:44" s="569" customFormat="1" ht="35.25" customHeight="1" x14ac:dyDescent="0.25">
      <c r="A63" s="719"/>
      <c r="B63" s="527"/>
      <c r="C63" s="527"/>
      <c r="D63" s="720"/>
      <c r="E63" s="721"/>
      <c r="F63" s="722"/>
      <c r="G63" s="3862"/>
      <c r="H63" s="3862"/>
      <c r="I63" s="3863"/>
      <c r="J63" s="3784"/>
      <c r="K63" s="2554"/>
      <c r="L63" s="2554"/>
      <c r="M63" s="3749"/>
      <c r="N63" s="723"/>
      <c r="O63" s="3748"/>
      <c r="P63" s="3871"/>
      <c r="Q63" s="3873"/>
      <c r="R63" s="3874"/>
      <c r="S63" s="3871"/>
      <c r="T63" s="2554"/>
      <c r="U63" s="90" t="s">
        <v>573</v>
      </c>
      <c r="V63" s="731"/>
      <c r="W63" s="727"/>
      <c r="X63" s="90"/>
      <c r="Y63" s="3775"/>
      <c r="Z63" s="3775"/>
      <c r="AA63" s="3869"/>
      <c r="AB63" s="3869"/>
      <c r="AC63" s="3869"/>
      <c r="AD63" s="3869"/>
      <c r="AE63" s="3869"/>
      <c r="AF63" s="3869"/>
      <c r="AG63" s="3869"/>
      <c r="AH63" s="3869"/>
      <c r="AI63" s="3869"/>
      <c r="AJ63" s="3869"/>
      <c r="AK63" s="3869"/>
      <c r="AL63" s="3869"/>
      <c r="AM63" s="3869"/>
      <c r="AN63" s="3869"/>
      <c r="AO63" s="3869"/>
      <c r="AP63" s="3876"/>
      <c r="AQ63" s="3876"/>
      <c r="AR63" s="3836"/>
    </row>
    <row r="64" spans="1:44" s="569" customFormat="1" ht="77.25" customHeight="1" x14ac:dyDescent="0.25">
      <c r="A64" s="719"/>
      <c r="B64" s="527"/>
      <c r="C64" s="527"/>
      <c r="D64" s="720"/>
      <c r="E64" s="721"/>
      <c r="F64" s="722"/>
      <c r="G64" s="3862"/>
      <c r="H64" s="3862"/>
      <c r="I64" s="3863"/>
      <c r="J64" s="704">
        <v>89</v>
      </c>
      <c r="K64" s="647" t="s">
        <v>574</v>
      </c>
      <c r="L64" s="647" t="s">
        <v>575</v>
      </c>
      <c r="M64" s="704">
        <v>20000</v>
      </c>
      <c r="N64" s="732" t="s">
        <v>576</v>
      </c>
      <c r="O64" s="3748"/>
      <c r="P64" s="3871"/>
      <c r="Q64" s="726">
        <f>+V64/R53</f>
        <v>0</v>
      </c>
      <c r="R64" s="3874"/>
      <c r="S64" s="3871"/>
      <c r="T64" s="90" t="s">
        <v>577</v>
      </c>
      <c r="U64" s="90" t="s">
        <v>578</v>
      </c>
      <c r="V64" s="710"/>
      <c r="W64" s="727"/>
      <c r="X64" s="90"/>
      <c r="Y64" s="3775"/>
      <c r="Z64" s="3775"/>
      <c r="AA64" s="3869"/>
      <c r="AB64" s="3869"/>
      <c r="AC64" s="3869"/>
      <c r="AD64" s="3869"/>
      <c r="AE64" s="3869"/>
      <c r="AF64" s="3869"/>
      <c r="AG64" s="3869"/>
      <c r="AH64" s="3869"/>
      <c r="AI64" s="3869"/>
      <c r="AJ64" s="3869"/>
      <c r="AK64" s="3869"/>
      <c r="AL64" s="3869"/>
      <c r="AM64" s="3869"/>
      <c r="AN64" s="3869"/>
      <c r="AO64" s="3869"/>
      <c r="AP64" s="3876"/>
      <c r="AQ64" s="3876"/>
      <c r="AR64" s="3836"/>
    </row>
    <row r="65" spans="1:44" s="569" customFormat="1" ht="73.5" customHeight="1" x14ac:dyDescent="0.25">
      <c r="A65" s="719"/>
      <c r="B65" s="527"/>
      <c r="C65" s="527"/>
      <c r="D65" s="720"/>
      <c r="E65" s="721"/>
      <c r="F65" s="722"/>
      <c r="G65" s="3862"/>
      <c r="H65" s="3862"/>
      <c r="I65" s="3863"/>
      <c r="J65" s="3783">
        <v>90</v>
      </c>
      <c r="K65" s="2553" t="s">
        <v>579</v>
      </c>
      <c r="L65" s="2553" t="s">
        <v>580</v>
      </c>
      <c r="M65" s="3798">
        <v>130</v>
      </c>
      <c r="N65" s="723"/>
      <c r="O65" s="3748"/>
      <c r="P65" s="3871"/>
      <c r="Q65" s="3872">
        <f>(+V65+V66)/R53</f>
        <v>7.1207183254721446E-2</v>
      </c>
      <c r="R65" s="3874"/>
      <c r="S65" s="3871"/>
      <c r="T65" s="2553" t="s">
        <v>581</v>
      </c>
      <c r="U65" s="90" t="s">
        <v>582</v>
      </c>
      <c r="V65" s="710"/>
      <c r="W65" s="727"/>
      <c r="X65" s="90"/>
      <c r="Y65" s="3775"/>
      <c r="Z65" s="3775"/>
      <c r="AA65" s="3869"/>
      <c r="AB65" s="3869"/>
      <c r="AC65" s="3869"/>
      <c r="AD65" s="3869"/>
      <c r="AE65" s="3869"/>
      <c r="AF65" s="3869"/>
      <c r="AG65" s="3869"/>
      <c r="AH65" s="3869"/>
      <c r="AI65" s="3869"/>
      <c r="AJ65" s="3869"/>
      <c r="AK65" s="3869"/>
      <c r="AL65" s="3869"/>
      <c r="AM65" s="3869"/>
      <c r="AN65" s="3869"/>
      <c r="AO65" s="3869"/>
      <c r="AP65" s="3876"/>
      <c r="AQ65" s="3876"/>
      <c r="AR65" s="3836"/>
    </row>
    <row r="66" spans="1:44" s="569" customFormat="1" ht="81.75" customHeight="1" x14ac:dyDescent="0.25">
      <c r="A66" s="719"/>
      <c r="B66" s="527"/>
      <c r="C66" s="527"/>
      <c r="D66" s="720"/>
      <c r="E66" s="721"/>
      <c r="F66" s="722"/>
      <c r="G66" s="3862"/>
      <c r="H66" s="3862"/>
      <c r="I66" s="3863"/>
      <c r="J66" s="3784"/>
      <c r="K66" s="2554"/>
      <c r="L66" s="2554"/>
      <c r="M66" s="3799"/>
      <c r="N66" s="723"/>
      <c r="O66" s="3748"/>
      <c r="P66" s="3871"/>
      <c r="Q66" s="3873"/>
      <c r="R66" s="3874"/>
      <c r="S66" s="3871"/>
      <c r="T66" s="2554"/>
      <c r="U66" s="90" t="s">
        <v>583</v>
      </c>
      <c r="V66" s="652">
        <v>29875000</v>
      </c>
      <c r="W66" s="727">
        <v>20</v>
      </c>
      <c r="X66" s="90" t="s">
        <v>62</v>
      </c>
      <c r="Y66" s="3775"/>
      <c r="Z66" s="3775"/>
      <c r="AA66" s="3869"/>
      <c r="AB66" s="3869"/>
      <c r="AC66" s="3869"/>
      <c r="AD66" s="3869"/>
      <c r="AE66" s="3869"/>
      <c r="AF66" s="3869"/>
      <c r="AG66" s="3869"/>
      <c r="AH66" s="3869"/>
      <c r="AI66" s="3869"/>
      <c r="AJ66" s="3869"/>
      <c r="AK66" s="3869"/>
      <c r="AL66" s="3869"/>
      <c r="AM66" s="3869"/>
      <c r="AN66" s="3869"/>
      <c r="AO66" s="3869"/>
      <c r="AP66" s="3876"/>
      <c r="AQ66" s="3876"/>
      <c r="AR66" s="3836"/>
    </row>
    <row r="67" spans="1:44" s="569" customFormat="1" ht="41.25" customHeight="1" x14ac:dyDescent="0.25">
      <c r="A67" s="719"/>
      <c r="B67" s="527"/>
      <c r="C67" s="527"/>
      <c r="D67" s="720"/>
      <c r="E67" s="721"/>
      <c r="F67" s="722"/>
      <c r="G67" s="3862"/>
      <c r="H67" s="3862"/>
      <c r="I67" s="3863"/>
      <c r="J67" s="3783">
        <v>91</v>
      </c>
      <c r="K67" s="2553" t="s">
        <v>584</v>
      </c>
      <c r="L67" s="2553" t="s">
        <v>585</v>
      </c>
      <c r="M67" s="3798">
        <v>54</v>
      </c>
      <c r="N67" s="723"/>
      <c r="O67" s="3748"/>
      <c r="P67" s="3871"/>
      <c r="Q67" s="3872">
        <f>(+V67+V68)/R53</f>
        <v>0.24281796995391156</v>
      </c>
      <c r="R67" s="3874"/>
      <c r="S67" s="3871"/>
      <c r="T67" s="2553" t="s">
        <v>586</v>
      </c>
      <c r="U67" s="2553" t="s">
        <v>587</v>
      </c>
      <c r="V67" s="652">
        <f>60000000+31988604.86</f>
        <v>91988604.859999999</v>
      </c>
      <c r="W67" s="727">
        <v>21</v>
      </c>
      <c r="X67" s="90" t="s">
        <v>561</v>
      </c>
      <c r="Y67" s="3775"/>
      <c r="Z67" s="3775"/>
      <c r="AA67" s="3869"/>
      <c r="AB67" s="3869"/>
      <c r="AC67" s="3869"/>
      <c r="AD67" s="3869"/>
      <c r="AE67" s="3869"/>
      <c r="AF67" s="3869"/>
      <c r="AG67" s="3869"/>
      <c r="AH67" s="3869"/>
      <c r="AI67" s="3869"/>
      <c r="AJ67" s="3869"/>
      <c r="AK67" s="3869"/>
      <c r="AL67" s="3869"/>
      <c r="AM67" s="3869"/>
      <c r="AN67" s="3869"/>
      <c r="AO67" s="3869"/>
      <c r="AP67" s="3876"/>
      <c r="AQ67" s="3876"/>
      <c r="AR67" s="3836"/>
    </row>
    <row r="68" spans="1:44" s="569" customFormat="1" ht="93" customHeight="1" x14ac:dyDescent="0.25">
      <c r="A68" s="719"/>
      <c r="B68" s="527"/>
      <c r="C68" s="527"/>
      <c r="D68" s="720"/>
      <c r="E68" s="721"/>
      <c r="F68" s="722"/>
      <c r="G68" s="3862"/>
      <c r="H68" s="3862"/>
      <c r="I68" s="3863"/>
      <c r="J68" s="3784"/>
      <c r="K68" s="2554"/>
      <c r="L68" s="2554"/>
      <c r="M68" s="3799"/>
      <c r="N68" s="723"/>
      <c r="O68" s="3748"/>
      <c r="P68" s="3871"/>
      <c r="Q68" s="3873"/>
      <c r="R68" s="3874"/>
      <c r="S68" s="3871"/>
      <c r="T68" s="2554"/>
      <c r="U68" s="2554"/>
      <c r="V68" s="652">
        <v>9885764</v>
      </c>
      <c r="W68" s="727">
        <v>20</v>
      </c>
      <c r="X68" s="90" t="s">
        <v>62</v>
      </c>
      <c r="Y68" s="3775"/>
      <c r="Z68" s="3775"/>
      <c r="AA68" s="3869"/>
      <c r="AB68" s="3869"/>
      <c r="AC68" s="3869"/>
      <c r="AD68" s="3869"/>
      <c r="AE68" s="3869"/>
      <c r="AF68" s="3869"/>
      <c r="AG68" s="3869"/>
      <c r="AH68" s="3869"/>
      <c r="AI68" s="3869"/>
      <c r="AJ68" s="3869"/>
      <c r="AK68" s="3869"/>
      <c r="AL68" s="3869"/>
      <c r="AM68" s="3869"/>
      <c r="AN68" s="3869"/>
      <c r="AO68" s="3869"/>
      <c r="AP68" s="3876"/>
      <c r="AQ68" s="3876"/>
      <c r="AR68" s="3836"/>
    </row>
    <row r="69" spans="1:44" s="569" customFormat="1" ht="108.75" customHeight="1" x14ac:dyDescent="0.25">
      <c r="A69" s="719"/>
      <c r="B69" s="527"/>
      <c r="C69" s="527"/>
      <c r="D69" s="720"/>
      <c r="E69" s="721"/>
      <c r="F69" s="722"/>
      <c r="G69" s="3862"/>
      <c r="H69" s="3862"/>
      <c r="I69" s="3863"/>
      <c r="J69" s="713">
        <v>92</v>
      </c>
      <c r="K69" s="716" t="s">
        <v>588</v>
      </c>
      <c r="L69" s="716" t="s">
        <v>589</v>
      </c>
      <c r="M69" s="714">
        <v>1</v>
      </c>
      <c r="N69" s="723"/>
      <c r="O69" s="3748"/>
      <c r="P69" s="3871"/>
      <c r="Q69" s="733">
        <f>+V69/R53</f>
        <v>7.1505121259971327E-2</v>
      </c>
      <c r="R69" s="3874"/>
      <c r="S69" s="3871"/>
      <c r="T69" s="728" t="s">
        <v>590</v>
      </c>
      <c r="U69" s="728" t="s">
        <v>591</v>
      </c>
      <c r="V69" s="717">
        <v>30000000</v>
      </c>
      <c r="W69" s="727">
        <v>20</v>
      </c>
      <c r="X69" s="90" t="s">
        <v>62</v>
      </c>
      <c r="Y69" s="3784"/>
      <c r="Z69" s="3784"/>
      <c r="AA69" s="3870"/>
      <c r="AB69" s="3870"/>
      <c r="AC69" s="3870"/>
      <c r="AD69" s="3870"/>
      <c r="AE69" s="3870"/>
      <c r="AF69" s="3870"/>
      <c r="AG69" s="3870"/>
      <c r="AH69" s="3870"/>
      <c r="AI69" s="3870"/>
      <c r="AJ69" s="3870"/>
      <c r="AK69" s="3870"/>
      <c r="AL69" s="3870"/>
      <c r="AM69" s="3870"/>
      <c r="AN69" s="3870"/>
      <c r="AO69" s="3870"/>
      <c r="AP69" s="3877"/>
      <c r="AQ69" s="3877"/>
      <c r="AR69" s="3837"/>
    </row>
    <row r="70" spans="1:44" s="569" customFormat="1" ht="30" customHeight="1" x14ac:dyDescent="0.25">
      <c r="A70" s="628"/>
      <c r="B70" s="532"/>
      <c r="C70" s="532"/>
      <c r="D70" s="628"/>
      <c r="E70" s="532"/>
      <c r="F70" s="635"/>
      <c r="G70" s="685">
        <v>21</v>
      </c>
      <c r="H70" s="588" t="s">
        <v>592</v>
      </c>
      <c r="I70" s="588"/>
      <c r="J70" s="588"/>
      <c r="K70" s="589"/>
      <c r="L70" s="589"/>
      <c r="M70" s="621"/>
      <c r="N70" s="686"/>
      <c r="O70" s="621"/>
      <c r="P70" s="589"/>
      <c r="Q70" s="620"/>
      <c r="R70" s="623"/>
      <c r="S70" s="589"/>
      <c r="T70" s="734"/>
      <c r="U70" s="734"/>
      <c r="V70" s="735"/>
      <c r="W70" s="590"/>
      <c r="X70" s="734"/>
      <c r="Y70" s="621"/>
      <c r="Z70" s="621"/>
      <c r="AA70" s="621"/>
      <c r="AB70" s="621"/>
      <c r="AC70" s="621"/>
      <c r="AD70" s="621"/>
      <c r="AE70" s="621"/>
      <c r="AF70" s="621"/>
      <c r="AG70" s="621"/>
      <c r="AH70" s="621"/>
      <c r="AI70" s="621"/>
      <c r="AJ70" s="597"/>
      <c r="AK70" s="597"/>
      <c r="AL70" s="597"/>
      <c r="AM70" s="597"/>
      <c r="AN70" s="597"/>
      <c r="AO70" s="597"/>
      <c r="AP70" s="597"/>
      <c r="AQ70" s="597"/>
      <c r="AR70" s="625"/>
    </row>
    <row r="71" spans="1:44" s="569" customFormat="1" ht="48" customHeight="1" x14ac:dyDescent="0.25">
      <c r="A71" s="688"/>
      <c r="B71" s="689"/>
      <c r="C71" s="689"/>
      <c r="D71" s="690"/>
      <c r="E71" s="681"/>
      <c r="F71" s="691"/>
      <c r="G71" s="689"/>
      <c r="H71" s="689"/>
      <c r="I71" s="736"/>
      <c r="J71" s="3783">
        <v>93</v>
      </c>
      <c r="K71" s="3756" t="s">
        <v>593</v>
      </c>
      <c r="L71" s="3801" t="s">
        <v>594</v>
      </c>
      <c r="M71" s="3881">
        <v>36</v>
      </c>
      <c r="N71" s="737"/>
      <c r="O71" s="3754" t="s">
        <v>595</v>
      </c>
      <c r="P71" s="3882" t="s">
        <v>596</v>
      </c>
      <c r="Q71" s="3858">
        <f>+(V71+V72)/$R$71</f>
        <v>0.25982774744453385</v>
      </c>
      <c r="R71" s="3839">
        <f>SUM(V71:V77)</f>
        <v>109129992</v>
      </c>
      <c r="S71" s="3789" t="s">
        <v>597</v>
      </c>
      <c r="T71" s="3883" t="s">
        <v>598</v>
      </c>
      <c r="U71" s="3883" t="s">
        <v>599</v>
      </c>
      <c r="V71" s="738">
        <v>11861000</v>
      </c>
      <c r="W71" s="604">
        <v>20</v>
      </c>
      <c r="X71" s="609" t="s">
        <v>62</v>
      </c>
      <c r="Y71" s="3840">
        <v>20555</v>
      </c>
      <c r="Z71" s="3827">
        <v>21361</v>
      </c>
      <c r="AA71" s="3830">
        <v>30460</v>
      </c>
      <c r="AB71" s="3830">
        <v>9593</v>
      </c>
      <c r="AC71" s="3830">
        <v>1762</v>
      </c>
      <c r="AD71" s="3830">
        <v>101</v>
      </c>
      <c r="AE71" s="3830">
        <v>308</v>
      </c>
      <c r="AF71" s="3830">
        <v>277</v>
      </c>
      <c r="AG71" s="3830">
        <v>0</v>
      </c>
      <c r="AH71" s="3830">
        <v>0</v>
      </c>
      <c r="AI71" s="3830">
        <v>0</v>
      </c>
      <c r="AJ71" s="3842">
        <v>0</v>
      </c>
      <c r="AK71" s="3842">
        <v>2907</v>
      </c>
      <c r="AL71" s="3869">
        <v>2589</v>
      </c>
      <c r="AM71" s="3842">
        <v>2954</v>
      </c>
      <c r="AN71" s="3845">
        <v>41916</v>
      </c>
      <c r="AO71" s="3844"/>
      <c r="AP71" s="3847">
        <v>43497</v>
      </c>
      <c r="AQ71" s="3847">
        <v>43646</v>
      </c>
      <c r="AR71" s="3836" t="s">
        <v>444</v>
      </c>
    </row>
    <row r="72" spans="1:44" s="569" customFormat="1" ht="35.25" customHeight="1" x14ac:dyDescent="0.25">
      <c r="A72" s="688"/>
      <c r="B72" s="689"/>
      <c r="C72" s="689"/>
      <c r="D72" s="690"/>
      <c r="E72" s="681"/>
      <c r="F72" s="691"/>
      <c r="G72" s="689"/>
      <c r="H72" s="689"/>
      <c r="I72" s="736"/>
      <c r="J72" s="3784"/>
      <c r="K72" s="3758"/>
      <c r="L72" s="3801"/>
      <c r="M72" s="3881"/>
      <c r="N72" s="723"/>
      <c r="O72" s="3752"/>
      <c r="P72" s="3789"/>
      <c r="Q72" s="3858"/>
      <c r="R72" s="3839"/>
      <c r="S72" s="3789"/>
      <c r="T72" s="3883"/>
      <c r="U72" s="3883"/>
      <c r="V72" s="739">
        <f>0+16494000</f>
        <v>16494000</v>
      </c>
      <c r="W72" s="604">
        <v>88</v>
      </c>
      <c r="X72" s="609" t="s">
        <v>446</v>
      </c>
      <c r="Y72" s="3840"/>
      <c r="Z72" s="3827"/>
      <c r="AA72" s="3830"/>
      <c r="AB72" s="3830"/>
      <c r="AC72" s="3830"/>
      <c r="AD72" s="3830"/>
      <c r="AE72" s="3830"/>
      <c r="AF72" s="3830"/>
      <c r="AG72" s="3830"/>
      <c r="AH72" s="3830"/>
      <c r="AI72" s="3830"/>
      <c r="AJ72" s="3842"/>
      <c r="AK72" s="3842"/>
      <c r="AL72" s="3869"/>
      <c r="AM72" s="3842"/>
      <c r="AN72" s="3845"/>
      <c r="AO72" s="3845"/>
      <c r="AP72" s="3848"/>
      <c r="AQ72" s="3848"/>
      <c r="AR72" s="3836"/>
    </row>
    <row r="73" spans="1:44" s="569" customFormat="1" ht="46.5" customHeight="1" x14ac:dyDescent="0.25">
      <c r="A73" s="688"/>
      <c r="B73" s="689"/>
      <c r="C73" s="689"/>
      <c r="D73" s="690"/>
      <c r="E73" s="681"/>
      <c r="F73" s="691"/>
      <c r="G73" s="689"/>
      <c r="H73" s="689"/>
      <c r="I73" s="736"/>
      <c r="J73" s="3783">
        <v>94</v>
      </c>
      <c r="K73" s="3756" t="s">
        <v>600</v>
      </c>
      <c r="L73" s="3752" t="s">
        <v>601</v>
      </c>
      <c r="M73" s="3798">
        <v>65</v>
      </c>
      <c r="N73" s="723"/>
      <c r="O73" s="3752"/>
      <c r="P73" s="3750"/>
      <c r="Q73" s="3888">
        <f>(V73+V74)/R71</f>
        <v>0.64143686549523438</v>
      </c>
      <c r="R73" s="3838"/>
      <c r="S73" s="3750"/>
      <c r="T73" s="3750" t="s">
        <v>602</v>
      </c>
      <c r="U73" s="3750" t="s">
        <v>603</v>
      </c>
      <c r="V73" s="740">
        <v>60000000</v>
      </c>
      <c r="W73" s="741">
        <v>21</v>
      </c>
      <c r="X73" s="742" t="s">
        <v>561</v>
      </c>
      <c r="Y73" s="3827"/>
      <c r="Z73" s="3827"/>
      <c r="AA73" s="3830"/>
      <c r="AB73" s="3830"/>
      <c r="AC73" s="3830"/>
      <c r="AD73" s="3830"/>
      <c r="AE73" s="3830"/>
      <c r="AF73" s="3830"/>
      <c r="AG73" s="3830"/>
      <c r="AH73" s="3830"/>
      <c r="AI73" s="3830"/>
      <c r="AJ73" s="3842"/>
      <c r="AK73" s="3842"/>
      <c r="AL73" s="3869"/>
      <c r="AM73" s="3842"/>
      <c r="AN73" s="3845"/>
      <c r="AO73" s="3845"/>
      <c r="AP73" s="3848"/>
      <c r="AQ73" s="3848"/>
      <c r="AR73" s="3836"/>
    </row>
    <row r="74" spans="1:44" s="569" customFormat="1" ht="35.25" customHeight="1" x14ac:dyDescent="0.25">
      <c r="A74" s="688"/>
      <c r="B74" s="689"/>
      <c r="C74" s="689"/>
      <c r="D74" s="690"/>
      <c r="E74" s="681"/>
      <c r="F74" s="691"/>
      <c r="G74" s="689"/>
      <c r="H74" s="689"/>
      <c r="I74" s="736"/>
      <c r="J74" s="3784"/>
      <c r="K74" s="3758"/>
      <c r="L74" s="3753"/>
      <c r="M74" s="3799"/>
      <c r="N74" s="723" t="s">
        <v>604</v>
      </c>
      <c r="O74" s="3752"/>
      <c r="P74" s="3750"/>
      <c r="Q74" s="3889"/>
      <c r="R74" s="3838"/>
      <c r="S74" s="3750"/>
      <c r="T74" s="3751"/>
      <c r="U74" s="3751"/>
      <c r="V74" s="657">
        <v>10000000</v>
      </c>
      <c r="W74" s="724">
        <v>20</v>
      </c>
      <c r="X74" s="90" t="s">
        <v>62</v>
      </c>
      <c r="Y74" s="3827"/>
      <c r="Z74" s="3827"/>
      <c r="AA74" s="3830"/>
      <c r="AB74" s="3830"/>
      <c r="AC74" s="3830"/>
      <c r="AD74" s="3830"/>
      <c r="AE74" s="3830"/>
      <c r="AF74" s="3830"/>
      <c r="AG74" s="3830"/>
      <c r="AH74" s="3830"/>
      <c r="AI74" s="3830"/>
      <c r="AJ74" s="3842"/>
      <c r="AK74" s="3842"/>
      <c r="AL74" s="3869"/>
      <c r="AM74" s="3842"/>
      <c r="AN74" s="3845"/>
      <c r="AO74" s="3845"/>
      <c r="AP74" s="3848"/>
      <c r="AQ74" s="3848"/>
      <c r="AR74" s="3836"/>
    </row>
    <row r="75" spans="1:44" s="569" customFormat="1" ht="33" customHeight="1" x14ac:dyDescent="0.25">
      <c r="A75" s="688"/>
      <c r="B75" s="689"/>
      <c r="C75" s="689"/>
      <c r="D75" s="690"/>
      <c r="E75" s="681"/>
      <c r="F75" s="691"/>
      <c r="G75" s="689"/>
      <c r="H75" s="689"/>
      <c r="I75" s="736"/>
      <c r="J75" s="3783">
        <v>95</v>
      </c>
      <c r="K75" s="3770" t="s">
        <v>605</v>
      </c>
      <c r="L75" s="3770" t="s">
        <v>606</v>
      </c>
      <c r="M75" s="3798">
        <v>500</v>
      </c>
      <c r="N75" s="723"/>
      <c r="O75" s="3752"/>
      <c r="P75" s="3750"/>
      <c r="Q75" s="3884">
        <f>+V75/R71</f>
        <v>0</v>
      </c>
      <c r="R75" s="3838"/>
      <c r="S75" s="3750"/>
      <c r="T75" s="3770" t="s">
        <v>607</v>
      </c>
      <c r="U75" s="2553" t="s">
        <v>608</v>
      </c>
      <c r="V75" s="3886">
        <f>10000000-10000000</f>
        <v>0</v>
      </c>
      <c r="W75" s="3890"/>
      <c r="X75" s="3770"/>
      <c r="Y75" s="3827"/>
      <c r="Z75" s="3827"/>
      <c r="AA75" s="3830"/>
      <c r="AB75" s="3830"/>
      <c r="AC75" s="3830"/>
      <c r="AD75" s="3830"/>
      <c r="AE75" s="3830"/>
      <c r="AF75" s="3830"/>
      <c r="AG75" s="3830"/>
      <c r="AH75" s="3830"/>
      <c r="AI75" s="3830"/>
      <c r="AJ75" s="3842"/>
      <c r="AK75" s="3842"/>
      <c r="AL75" s="3869"/>
      <c r="AM75" s="3842"/>
      <c r="AN75" s="3845"/>
      <c r="AO75" s="3845"/>
      <c r="AP75" s="3848"/>
      <c r="AQ75" s="3848"/>
      <c r="AR75" s="3836"/>
    </row>
    <row r="76" spans="1:44" s="569" customFormat="1" ht="59.25" customHeight="1" x14ac:dyDescent="0.25">
      <c r="A76" s="688"/>
      <c r="B76" s="689"/>
      <c r="C76" s="689"/>
      <c r="D76" s="690"/>
      <c r="E76" s="681"/>
      <c r="F76" s="691"/>
      <c r="G76" s="689"/>
      <c r="H76" s="689"/>
      <c r="I76" s="736"/>
      <c r="J76" s="3784"/>
      <c r="K76" s="3751"/>
      <c r="L76" s="3751"/>
      <c r="M76" s="3799"/>
      <c r="N76" s="723" t="s">
        <v>609</v>
      </c>
      <c r="O76" s="3752"/>
      <c r="P76" s="3750"/>
      <c r="Q76" s="3885"/>
      <c r="R76" s="3838"/>
      <c r="S76" s="3750"/>
      <c r="T76" s="3751"/>
      <c r="U76" s="2554"/>
      <c r="V76" s="3887"/>
      <c r="W76" s="3891"/>
      <c r="X76" s="3751"/>
      <c r="Y76" s="3827"/>
      <c r="Z76" s="3827"/>
      <c r="AA76" s="3830"/>
      <c r="AB76" s="3830"/>
      <c r="AC76" s="3830"/>
      <c r="AD76" s="3830"/>
      <c r="AE76" s="3830"/>
      <c r="AF76" s="3830"/>
      <c r="AG76" s="3830"/>
      <c r="AH76" s="3830"/>
      <c r="AI76" s="3830"/>
      <c r="AJ76" s="3842"/>
      <c r="AK76" s="3842"/>
      <c r="AL76" s="3869"/>
      <c r="AM76" s="3842"/>
      <c r="AN76" s="3845"/>
      <c r="AO76" s="3845"/>
      <c r="AP76" s="3848"/>
      <c r="AQ76" s="3848"/>
      <c r="AR76" s="3836"/>
    </row>
    <row r="77" spans="1:44" s="569" customFormat="1" ht="78.75" customHeight="1" x14ac:dyDescent="0.25">
      <c r="A77" s="688"/>
      <c r="B77" s="689"/>
      <c r="C77" s="689"/>
      <c r="D77" s="690"/>
      <c r="E77" s="681"/>
      <c r="F77" s="691"/>
      <c r="G77" s="689"/>
      <c r="H77" s="689"/>
      <c r="I77" s="736"/>
      <c r="J77" s="713">
        <v>96</v>
      </c>
      <c r="K77" s="654" t="s">
        <v>610</v>
      </c>
      <c r="L77" s="654" t="s">
        <v>611</v>
      </c>
      <c r="M77" s="743">
        <v>2</v>
      </c>
      <c r="N77" s="732" t="s">
        <v>612</v>
      </c>
      <c r="O77" s="3753"/>
      <c r="P77" s="3751"/>
      <c r="Q77" s="744">
        <f>+V77/R71</f>
        <v>9.87353870602318E-2</v>
      </c>
      <c r="R77" s="3838"/>
      <c r="S77" s="3750"/>
      <c r="T77" s="315" t="s">
        <v>613</v>
      </c>
      <c r="U77" s="315" t="s">
        <v>614</v>
      </c>
      <c r="V77" s="657">
        <v>10774992</v>
      </c>
      <c r="W77" s="724">
        <v>20</v>
      </c>
      <c r="X77" s="90" t="s">
        <v>62</v>
      </c>
      <c r="Y77" s="3827"/>
      <c r="Z77" s="3827"/>
      <c r="AA77" s="3830"/>
      <c r="AB77" s="3830"/>
      <c r="AC77" s="3830"/>
      <c r="AD77" s="3830"/>
      <c r="AE77" s="3830"/>
      <c r="AF77" s="3830"/>
      <c r="AG77" s="3830"/>
      <c r="AH77" s="3830"/>
      <c r="AI77" s="3830"/>
      <c r="AJ77" s="3842"/>
      <c r="AK77" s="3842"/>
      <c r="AL77" s="3869"/>
      <c r="AM77" s="3842"/>
      <c r="AN77" s="3845"/>
      <c r="AO77" s="3846"/>
      <c r="AP77" s="3849"/>
      <c r="AQ77" s="3849"/>
      <c r="AR77" s="3836"/>
    </row>
    <row r="78" spans="1:44" s="569" customFormat="1" ht="15.75" x14ac:dyDescent="0.25">
      <c r="A78" s="628"/>
      <c r="B78" s="532"/>
      <c r="C78" s="532"/>
      <c r="D78" s="628"/>
      <c r="E78" s="532"/>
      <c r="F78" s="635"/>
      <c r="G78" s="685">
        <v>22</v>
      </c>
      <c r="H78" s="588" t="s">
        <v>615</v>
      </c>
      <c r="I78" s="588"/>
      <c r="J78" s="588"/>
      <c r="K78" s="589"/>
      <c r="L78" s="589"/>
      <c r="M78" s="621"/>
      <c r="N78" s="686"/>
      <c r="O78" s="621"/>
      <c r="P78" s="745"/>
      <c r="Q78" s="621"/>
      <c r="R78" s="623"/>
      <c r="S78" s="589"/>
      <c r="T78" s="589"/>
      <c r="U78" s="589"/>
      <c r="V78" s="735"/>
      <c r="W78" s="590"/>
      <c r="X78" s="734"/>
      <c r="Y78" s="621"/>
      <c r="Z78" s="621"/>
      <c r="AA78" s="621"/>
      <c r="AB78" s="621"/>
      <c r="AC78" s="621"/>
      <c r="AD78" s="621"/>
      <c r="AE78" s="621"/>
      <c r="AF78" s="621"/>
      <c r="AG78" s="621"/>
      <c r="AH78" s="621"/>
      <c r="AI78" s="621"/>
      <c r="AJ78" s="597"/>
      <c r="AK78" s="597"/>
      <c r="AL78" s="597"/>
      <c r="AM78" s="597"/>
      <c r="AN78" s="597"/>
      <c r="AO78" s="597"/>
      <c r="AP78" s="597"/>
      <c r="AQ78" s="597"/>
      <c r="AR78" s="625"/>
    </row>
    <row r="79" spans="1:44" s="569" customFormat="1" ht="45" customHeight="1" x14ac:dyDescent="0.25">
      <c r="A79" s="746"/>
      <c r="B79" s="747"/>
      <c r="C79" s="747"/>
      <c r="D79" s="746"/>
      <c r="E79" s="747"/>
      <c r="F79" s="748"/>
      <c r="G79" s="3892"/>
      <c r="H79" s="3892"/>
      <c r="I79" s="3779"/>
      <c r="J79" s="3775">
        <v>97</v>
      </c>
      <c r="K79" s="3750" t="s">
        <v>616</v>
      </c>
      <c r="L79" s="3750" t="s">
        <v>617</v>
      </c>
      <c r="M79" s="3827">
        <v>52</v>
      </c>
      <c r="N79" s="749"/>
      <c r="O79" s="3752" t="s">
        <v>618</v>
      </c>
      <c r="P79" s="3750" t="s">
        <v>619</v>
      </c>
      <c r="Q79" s="3893">
        <f>(+V79+V80)/R79</f>
        <v>1</v>
      </c>
      <c r="R79" s="3838">
        <f>+V79+V80</f>
        <v>30000000</v>
      </c>
      <c r="S79" s="3750" t="s">
        <v>620</v>
      </c>
      <c r="T79" s="3750" t="s">
        <v>621</v>
      </c>
      <c r="U79" s="3894" t="s">
        <v>622</v>
      </c>
      <c r="V79" s="750">
        <f>10000000</f>
        <v>10000000</v>
      </c>
      <c r="W79" s="751">
        <v>20</v>
      </c>
      <c r="X79" s="702" t="s">
        <v>623</v>
      </c>
      <c r="Y79" s="3840">
        <v>20555</v>
      </c>
      <c r="Z79" s="3827">
        <v>21361</v>
      </c>
      <c r="AA79" s="3827">
        <v>30460</v>
      </c>
      <c r="AB79" s="3827">
        <v>9593</v>
      </c>
      <c r="AC79" s="3827">
        <v>1762</v>
      </c>
      <c r="AD79" s="3827">
        <v>101</v>
      </c>
      <c r="AE79" s="3827">
        <v>308</v>
      </c>
      <c r="AF79" s="3827">
        <v>277</v>
      </c>
      <c r="AG79" s="3827">
        <v>0</v>
      </c>
      <c r="AH79" s="3827">
        <v>0</v>
      </c>
      <c r="AI79" s="3827">
        <v>0</v>
      </c>
      <c r="AJ79" s="3827">
        <v>0</v>
      </c>
      <c r="AK79" s="3830">
        <v>2907</v>
      </c>
      <c r="AL79" s="3830">
        <v>2589</v>
      </c>
      <c r="AM79" s="3830">
        <v>2954</v>
      </c>
      <c r="AN79" s="3827">
        <v>41916</v>
      </c>
      <c r="AO79" s="3826"/>
      <c r="AP79" s="3876">
        <v>43497</v>
      </c>
      <c r="AQ79" s="3876">
        <v>43615</v>
      </c>
      <c r="AR79" s="3836" t="s">
        <v>444</v>
      </c>
    </row>
    <row r="80" spans="1:44" s="569" customFormat="1" ht="15.75" x14ac:dyDescent="0.25">
      <c r="A80" s="746"/>
      <c r="B80" s="747"/>
      <c r="C80" s="747"/>
      <c r="D80" s="746"/>
      <c r="E80" s="747"/>
      <c r="F80" s="748"/>
      <c r="G80" s="3892"/>
      <c r="H80" s="3892"/>
      <c r="I80" s="3779"/>
      <c r="J80" s="3775"/>
      <c r="K80" s="3750"/>
      <c r="L80" s="3750"/>
      <c r="M80" s="3827"/>
      <c r="N80" s="749"/>
      <c r="O80" s="3752"/>
      <c r="P80" s="3750"/>
      <c r="Q80" s="3893"/>
      <c r="R80" s="3838"/>
      <c r="S80" s="3750"/>
      <c r="T80" s="3750"/>
      <c r="U80" s="3894"/>
      <c r="V80" s="3895">
        <f>0+20000000</f>
        <v>20000000</v>
      </c>
      <c r="W80" s="3896">
        <v>88</v>
      </c>
      <c r="X80" s="3897" t="s">
        <v>446</v>
      </c>
      <c r="Y80" s="3840"/>
      <c r="Z80" s="3827"/>
      <c r="AA80" s="3827"/>
      <c r="AB80" s="3827"/>
      <c r="AC80" s="3827"/>
      <c r="AD80" s="3827"/>
      <c r="AE80" s="3827"/>
      <c r="AF80" s="3827"/>
      <c r="AG80" s="3827"/>
      <c r="AH80" s="3827"/>
      <c r="AI80" s="3827"/>
      <c r="AJ80" s="3827"/>
      <c r="AK80" s="3827"/>
      <c r="AL80" s="3827"/>
      <c r="AM80" s="3827"/>
      <c r="AN80" s="3827"/>
      <c r="AO80" s="3827"/>
      <c r="AP80" s="3845"/>
      <c r="AQ80" s="3845"/>
      <c r="AR80" s="3836"/>
    </row>
    <row r="81" spans="1:44" s="569" customFormat="1" ht="18" customHeight="1" x14ac:dyDescent="0.25">
      <c r="A81" s="746"/>
      <c r="B81" s="747"/>
      <c r="C81" s="747"/>
      <c r="D81" s="746"/>
      <c r="E81" s="747"/>
      <c r="F81" s="748"/>
      <c r="G81" s="3892"/>
      <c r="H81" s="3892"/>
      <c r="I81" s="3779"/>
      <c r="J81" s="3775"/>
      <c r="K81" s="3750"/>
      <c r="L81" s="3750"/>
      <c r="M81" s="3827"/>
      <c r="N81" s="749" t="s">
        <v>624</v>
      </c>
      <c r="O81" s="3752"/>
      <c r="P81" s="3750"/>
      <c r="Q81" s="3893"/>
      <c r="R81" s="3838"/>
      <c r="S81" s="3750"/>
      <c r="T81" s="3750"/>
      <c r="U81" s="3894"/>
      <c r="V81" s="3895"/>
      <c r="W81" s="3896"/>
      <c r="X81" s="3897"/>
      <c r="Y81" s="3840"/>
      <c r="Z81" s="3827"/>
      <c r="AA81" s="3827"/>
      <c r="AB81" s="3827"/>
      <c r="AC81" s="3827"/>
      <c r="AD81" s="3827"/>
      <c r="AE81" s="3827"/>
      <c r="AF81" s="3827"/>
      <c r="AG81" s="3827"/>
      <c r="AH81" s="3827"/>
      <c r="AI81" s="3827"/>
      <c r="AJ81" s="3827"/>
      <c r="AK81" s="3827"/>
      <c r="AL81" s="3827"/>
      <c r="AM81" s="3827"/>
      <c r="AN81" s="3827"/>
      <c r="AO81" s="3827"/>
      <c r="AP81" s="3845"/>
      <c r="AQ81" s="3845"/>
      <c r="AR81" s="3836"/>
    </row>
    <row r="82" spans="1:44" s="569" customFormat="1" ht="15.75" x14ac:dyDescent="0.25">
      <c r="A82" s="746"/>
      <c r="B82" s="747"/>
      <c r="C82" s="747"/>
      <c r="D82" s="746"/>
      <c r="E82" s="747"/>
      <c r="F82" s="748"/>
      <c r="G82" s="3892"/>
      <c r="H82" s="3892"/>
      <c r="I82" s="3779"/>
      <c r="J82" s="3775"/>
      <c r="K82" s="3750"/>
      <c r="L82" s="3750"/>
      <c r="M82" s="3827"/>
      <c r="N82" s="732" t="s">
        <v>625</v>
      </c>
      <c r="O82" s="3752"/>
      <c r="P82" s="3750"/>
      <c r="Q82" s="3893"/>
      <c r="R82" s="3838"/>
      <c r="S82" s="3750"/>
      <c r="T82" s="3750"/>
      <c r="U82" s="3894"/>
      <c r="V82" s="3895"/>
      <c r="W82" s="3896"/>
      <c r="X82" s="3897"/>
      <c r="Y82" s="3840"/>
      <c r="Z82" s="3827"/>
      <c r="AA82" s="3827"/>
      <c r="AB82" s="3827"/>
      <c r="AC82" s="3827"/>
      <c r="AD82" s="3827"/>
      <c r="AE82" s="3827"/>
      <c r="AF82" s="3827"/>
      <c r="AG82" s="3827"/>
      <c r="AH82" s="3827"/>
      <c r="AI82" s="3827"/>
      <c r="AJ82" s="3827"/>
      <c r="AK82" s="3827"/>
      <c r="AL82" s="3827"/>
      <c r="AM82" s="3827"/>
      <c r="AN82" s="3827"/>
      <c r="AO82" s="3827"/>
      <c r="AP82" s="3845"/>
      <c r="AQ82" s="3845"/>
      <c r="AR82" s="3836"/>
    </row>
    <row r="83" spans="1:44" s="569" customFormat="1" ht="15.75" x14ac:dyDescent="0.25">
      <c r="A83" s="746"/>
      <c r="B83" s="747"/>
      <c r="C83" s="747"/>
      <c r="D83" s="752"/>
      <c r="E83" s="753"/>
      <c r="F83" s="754"/>
      <c r="G83" s="3892"/>
      <c r="H83" s="3892"/>
      <c r="I83" s="3779"/>
      <c r="J83" s="3775"/>
      <c r="K83" s="3750"/>
      <c r="L83" s="3750"/>
      <c r="M83" s="3827"/>
      <c r="N83" s="749"/>
      <c r="O83" s="3752"/>
      <c r="P83" s="3750"/>
      <c r="Q83" s="3893"/>
      <c r="R83" s="3838"/>
      <c r="S83" s="3750"/>
      <c r="T83" s="3750"/>
      <c r="U83" s="3894"/>
      <c r="V83" s="3895"/>
      <c r="W83" s="3896"/>
      <c r="X83" s="3897"/>
      <c r="Y83" s="3840"/>
      <c r="Z83" s="3827"/>
      <c r="AA83" s="3827"/>
      <c r="AB83" s="3827"/>
      <c r="AC83" s="3827"/>
      <c r="AD83" s="3827"/>
      <c r="AE83" s="3827"/>
      <c r="AF83" s="3827"/>
      <c r="AG83" s="3827"/>
      <c r="AH83" s="3827"/>
      <c r="AI83" s="3827"/>
      <c r="AJ83" s="3827"/>
      <c r="AK83" s="3827"/>
      <c r="AL83" s="3827"/>
      <c r="AM83" s="3827"/>
      <c r="AN83" s="3827"/>
      <c r="AO83" s="3861"/>
      <c r="AP83" s="3845"/>
      <c r="AQ83" s="3845"/>
      <c r="AR83" s="3836"/>
    </row>
    <row r="84" spans="1:44" s="569" customFormat="1" ht="15.75" x14ac:dyDescent="0.25">
      <c r="A84" s="755"/>
      <c r="B84" s="756"/>
      <c r="C84" s="757"/>
      <c r="D84" s="670">
        <v>7</v>
      </c>
      <c r="E84" s="671" t="s">
        <v>626</v>
      </c>
      <c r="F84" s="671"/>
      <c r="G84" s="758"/>
      <c r="H84" s="758"/>
      <c r="I84" s="758"/>
      <c r="J84" s="758"/>
      <c r="K84" s="759"/>
      <c r="L84" s="759"/>
      <c r="M84" s="758"/>
      <c r="N84" s="760"/>
      <c r="O84" s="760"/>
      <c r="P84" s="761"/>
      <c r="Q84" s="762"/>
      <c r="R84" s="763"/>
      <c r="S84" s="759"/>
      <c r="T84" s="759"/>
      <c r="U84" s="759"/>
      <c r="V84" s="764"/>
      <c r="W84" s="765"/>
      <c r="X84" s="766"/>
      <c r="Y84" s="760"/>
      <c r="Z84" s="760"/>
      <c r="AA84" s="767"/>
      <c r="AB84" s="767"/>
      <c r="AC84" s="767"/>
      <c r="AD84" s="767"/>
      <c r="AE84" s="767"/>
      <c r="AF84" s="767"/>
      <c r="AG84" s="767"/>
      <c r="AH84" s="768"/>
      <c r="AI84" s="768"/>
      <c r="AJ84" s="769"/>
      <c r="AK84" s="769"/>
      <c r="AL84" s="769"/>
      <c r="AM84" s="769"/>
      <c r="AN84" s="770"/>
      <c r="AO84" s="770"/>
      <c r="AP84" s="770"/>
      <c r="AQ84" s="770"/>
      <c r="AR84" s="771"/>
    </row>
    <row r="85" spans="1:44" s="569" customFormat="1" ht="15.75" x14ac:dyDescent="0.25">
      <c r="A85" s="755"/>
      <c r="B85" s="756"/>
      <c r="C85" s="756"/>
      <c r="D85" s="584"/>
      <c r="E85" s="585"/>
      <c r="F85" s="586"/>
      <c r="G85" s="772">
        <v>23</v>
      </c>
      <c r="H85" s="588" t="s">
        <v>627</v>
      </c>
      <c r="I85" s="773"/>
      <c r="J85" s="773"/>
      <c r="K85" s="718"/>
      <c r="L85" s="718"/>
      <c r="M85" s="774"/>
      <c r="N85" s="622"/>
      <c r="O85" s="774"/>
      <c r="P85" s="775"/>
      <c r="Q85" s="774"/>
      <c r="R85" s="776"/>
      <c r="S85" s="718"/>
      <c r="T85" s="718"/>
      <c r="U85" s="718"/>
      <c r="V85" s="777"/>
      <c r="W85" s="622"/>
      <c r="X85" s="718"/>
      <c r="Y85" s="774"/>
      <c r="Z85" s="774"/>
      <c r="AA85" s="774"/>
      <c r="AB85" s="774"/>
      <c r="AC85" s="774"/>
      <c r="AD85" s="774"/>
      <c r="AE85" s="774"/>
      <c r="AF85" s="774"/>
      <c r="AG85" s="774"/>
      <c r="AH85" s="774"/>
      <c r="AI85" s="774"/>
      <c r="AJ85" s="778"/>
      <c r="AK85" s="778"/>
      <c r="AL85" s="778"/>
      <c r="AM85" s="778"/>
      <c r="AN85" s="778"/>
      <c r="AO85" s="778"/>
      <c r="AP85" s="778"/>
      <c r="AQ85" s="778"/>
      <c r="AR85" s="779"/>
    </row>
    <row r="86" spans="1:44" s="569" customFormat="1" ht="89.25" customHeight="1" x14ac:dyDescent="0.25">
      <c r="A86" s="755"/>
      <c r="B86" s="756"/>
      <c r="C86" s="756"/>
      <c r="D86" s="599"/>
      <c r="E86" s="600"/>
      <c r="F86" s="601"/>
      <c r="G86" s="780"/>
      <c r="H86" s="534"/>
      <c r="I86" s="781"/>
      <c r="J86" s="692">
        <v>98</v>
      </c>
      <c r="K86" s="641" t="s">
        <v>628</v>
      </c>
      <c r="L86" s="641" t="s">
        <v>629</v>
      </c>
      <c r="M86" s="693">
        <v>55</v>
      </c>
      <c r="N86" s="749"/>
      <c r="O86" s="3752" t="s">
        <v>630</v>
      </c>
      <c r="P86" s="3750" t="s">
        <v>631</v>
      </c>
      <c r="Q86" s="715"/>
      <c r="R86" s="3838">
        <f>+V88+V90</f>
        <v>0</v>
      </c>
      <c r="S86" s="3750" t="s">
        <v>632</v>
      </c>
      <c r="T86" s="641" t="s">
        <v>633</v>
      </c>
      <c r="U86" s="644" t="s">
        <v>634</v>
      </c>
      <c r="V86" s="706"/>
      <c r="W86" s="3829"/>
      <c r="X86" s="3899"/>
      <c r="Y86" s="3804">
        <v>20555</v>
      </c>
      <c r="Z86" s="3804">
        <v>21361</v>
      </c>
      <c r="AA86" s="3803">
        <v>30460</v>
      </c>
      <c r="AB86" s="3803">
        <v>9593</v>
      </c>
      <c r="AC86" s="3803">
        <v>1762</v>
      </c>
      <c r="AD86" s="3803">
        <v>93</v>
      </c>
      <c r="AE86" s="3803">
        <v>238</v>
      </c>
      <c r="AF86" s="3803">
        <v>245</v>
      </c>
      <c r="AG86" s="3803">
        <v>0</v>
      </c>
      <c r="AH86" s="3803">
        <v>0</v>
      </c>
      <c r="AI86" s="3803">
        <v>0</v>
      </c>
      <c r="AJ86" s="3898">
        <v>0</v>
      </c>
      <c r="AK86" s="3898">
        <v>2629</v>
      </c>
      <c r="AL86" s="3898">
        <v>2665</v>
      </c>
      <c r="AM86" s="3898">
        <v>2683</v>
      </c>
      <c r="AN86" s="3908">
        <v>43946</v>
      </c>
      <c r="AO86" s="3844"/>
      <c r="AP86" s="3875"/>
      <c r="AQ86" s="3853"/>
      <c r="AR86" s="3837" t="s">
        <v>444</v>
      </c>
    </row>
    <row r="87" spans="1:44" s="569" customFormat="1" ht="81" customHeight="1" x14ac:dyDescent="0.25">
      <c r="A87" s="755"/>
      <c r="B87" s="756"/>
      <c r="C87" s="756"/>
      <c r="D87" s="599"/>
      <c r="E87" s="782"/>
      <c r="F87" s="601"/>
      <c r="G87" s="534"/>
      <c r="H87" s="534"/>
      <c r="I87" s="781"/>
      <c r="J87" s="704">
        <v>99</v>
      </c>
      <c r="K87" s="640" t="s">
        <v>635</v>
      </c>
      <c r="L87" s="640" t="s">
        <v>636</v>
      </c>
      <c r="M87" s="642">
        <v>150</v>
      </c>
      <c r="N87" s="783"/>
      <c r="O87" s="3752"/>
      <c r="P87" s="3750"/>
      <c r="Q87" s="695"/>
      <c r="R87" s="3838"/>
      <c r="S87" s="3750"/>
      <c r="T87" s="640" t="s">
        <v>637</v>
      </c>
      <c r="U87" s="784" t="s">
        <v>638</v>
      </c>
      <c r="V87" s="710"/>
      <c r="W87" s="3830"/>
      <c r="X87" s="3900"/>
      <c r="Y87" s="3804"/>
      <c r="Z87" s="3804"/>
      <c r="AA87" s="3803"/>
      <c r="AB87" s="3803"/>
      <c r="AC87" s="3803"/>
      <c r="AD87" s="3803"/>
      <c r="AE87" s="3803"/>
      <c r="AF87" s="3803"/>
      <c r="AG87" s="3803"/>
      <c r="AH87" s="3803"/>
      <c r="AI87" s="3803"/>
      <c r="AJ87" s="3898"/>
      <c r="AK87" s="3898"/>
      <c r="AL87" s="3898"/>
      <c r="AM87" s="3898"/>
      <c r="AN87" s="3908"/>
      <c r="AO87" s="3845"/>
      <c r="AP87" s="3876"/>
      <c r="AQ87" s="3854"/>
      <c r="AR87" s="3902"/>
    </row>
    <row r="88" spans="1:44" s="569" customFormat="1" ht="72" customHeight="1" x14ac:dyDescent="0.25">
      <c r="A88" s="3903"/>
      <c r="B88" s="3903"/>
      <c r="C88" s="3903"/>
      <c r="D88" s="3904"/>
      <c r="E88" s="3904"/>
      <c r="F88" s="3904"/>
      <c r="G88" s="534"/>
      <c r="H88" s="534"/>
      <c r="I88" s="781"/>
      <c r="J88" s="704">
        <v>100</v>
      </c>
      <c r="K88" s="640" t="s">
        <v>639</v>
      </c>
      <c r="L88" s="640" t="s">
        <v>640</v>
      </c>
      <c r="M88" s="642">
        <v>6</v>
      </c>
      <c r="N88" s="749"/>
      <c r="O88" s="3752"/>
      <c r="P88" s="3750"/>
      <c r="Q88" s="695"/>
      <c r="R88" s="3838"/>
      <c r="S88" s="3750"/>
      <c r="T88" s="640" t="s">
        <v>639</v>
      </c>
      <c r="U88" s="784" t="s">
        <v>641</v>
      </c>
      <c r="V88" s="652"/>
      <c r="W88" s="3830"/>
      <c r="X88" s="3900"/>
      <c r="Y88" s="3804"/>
      <c r="Z88" s="3804"/>
      <c r="AA88" s="3803"/>
      <c r="AB88" s="3803"/>
      <c r="AC88" s="3803"/>
      <c r="AD88" s="3803"/>
      <c r="AE88" s="3803"/>
      <c r="AF88" s="3803"/>
      <c r="AG88" s="3803"/>
      <c r="AH88" s="3803"/>
      <c r="AI88" s="3803"/>
      <c r="AJ88" s="3898"/>
      <c r="AK88" s="3898"/>
      <c r="AL88" s="3898"/>
      <c r="AM88" s="3898"/>
      <c r="AN88" s="3908"/>
      <c r="AO88" s="3845"/>
      <c r="AP88" s="3876"/>
      <c r="AQ88" s="3854"/>
      <c r="AR88" s="3902"/>
    </row>
    <row r="89" spans="1:44" s="569" customFormat="1" ht="49.5" customHeight="1" x14ac:dyDescent="0.25">
      <c r="A89" s="3903"/>
      <c r="B89" s="3903"/>
      <c r="C89" s="3903"/>
      <c r="D89" s="3904"/>
      <c r="E89" s="3904"/>
      <c r="F89" s="3904"/>
      <c r="G89" s="534"/>
      <c r="H89" s="534"/>
      <c r="I89" s="781"/>
      <c r="J89" s="704">
        <v>101</v>
      </c>
      <c r="K89" s="640" t="s">
        <v>642</v>
      </c>
      <c r="L89" s="640" t="s">
        <v>643</v>
      </c>
      <c r="M89" s="642">
        <v>54</v>
      </c>
      <c r="N89" s="749"/>
      <c r="O89" s="3752"/>
      <c r="P89" s="3750"/>
      <c r="Q89" s="695"/>
      <c r="R89" s="3838"/>
      <c r="S89" s="3750"/>
      <c r="T89" s="640" t="s">
        <v>644</v>
      </c>
      <c r="U89" s="647" t="s">
        <v>645</v>
      </c>
      <c r="V89" s="710"/>
      <c r="W89" s="3830"/>
      <c r="X89" s="3900"/>
      <c r="Y89" s="3804"/>
      <c r="Z89" s="3804"/>
      <c r="AA89" s="3803"/>
      <c r="AB89" s="3803"/>
      <c r="AC89" s="3803"/>
      <c r="AD89" s="3803"/>
      <c r="AE89" s="3803"/>
      <c r="AF89" s="3803"/>
      <c r="AG89" s="3803"/>
      <c r="AH89" s="3803"/>
      <c r="AI89" s="3803"/>
      <c r="AJ89" s="3898"/>
      <c r="AK89" s="3898"/>
      <c r="AL89" s="3898"/>
      <c r="AM89" s="3898"/>
      <c r="AN89" s="3908"/>
      <c r="AO89" s="3845"/>
      <c r="AP89" s="3876"/>
      <c r="AQ89" s="3854"/>
      <c r="AR89" s="3902"/>
    </row>
    <row r="90" spans="1:44" s="569" customFormat="1" ht="60.75" customHeight="1" x14ac:dyDescent="0.25">
      <c r="A90" s="3903"/>
      <c r="B90" s="3903"/>
      <c r="C90" s="3903"/>
      <c r="D90" s="3904"/>
      <c r="E90" s="3904"/>
      <c r="F90" s="3904"/>
      <c r="G90" s="534"/>
      <c r="H90" s="534"/>
      <c r="I90" s="781"/>
      <c r="J90" s="713">
        <v>102</v>
      </c>
      <c r="K90" s="654" t="s">
        <v>646</v>
      </c>
      <c r="L90" s="654" t="s">
        <v>647</v>
      </c>
      <c r="M90" s="785">
        <v>1</v>
      </c>
      <c r="N90" s="749"/>
      <c r="O90" s="3752"/>
      <c r="P90" s="3750"/>
      <c r="Q90" s="705"/>
      <c r="R90" s="3838"/>
      <c r="S90" s="3750"/>
      <c r="T90" s="654" t="s">
        <v>648</v>
      </c>
      <c r="U90" s="728" t="s">
        <v>649</v>
      </c>
      <c r="V90" s="786"/>
      <c r="W90" s="3831"/>
      <c r="X90" s="3901"/>
      <c r="Y90" s="3804"/>
      <c r="Z90" s="3804"/>
      <c r="AA90" s="3803"/>
      <c r="AB90" s="3803"/>
      <c r="AC90" s="3803"/>
      <c r="AD90" s="3803"/>
      <c r="AE90" s="3803"/>
      <c r="AF90" s="3803"/>
      <c r="AG90" s="3803"/>
      <c r="AH90" s="3803"/>
      <c r="AI90" s="3803"/>
      <c r="AJ90" s="3898"/>
      <c r="AK90" s="3898"/>
      <c r="AL90" s="3898"/>
      <c r="AM90" s="3898"/>
      <c r="AN90" s="3908"/>
      <c r="AO90" s="3846"/>
      <c r="AP90" s="3877"/>
      <c r="AQ90" s="3855"/>
      <c r="AR90" s="3835"/>
    </row>
    <row r="91" spans="1:44" s="569" customFormat="1" ht="15.75" x14ac:dyDescent="0.25">
      <c r="A91" s="3903"/>
      <c r="B91" s="3903"/>
      <c r="C91" s="3903"/>
      <c r="D91" s="3904"/>
      <c r="E91" s="3904"/>
      <c r="F91" s="3904"/>
      <c r="G91" s="685">
        <v>24</v>
      </c>
      <c r="H91" s="588" t="s">
        <v>650</v>
      </c>
      <c r="I91" s="588"/>
      <c r="J91" s="588"/>
      <c r="K91" s="589"/>
      <c r="L91" s="589"/>
      <c r="M91" s="588"/>
      <c r="N91" s="686"/>
      <c r="O91" s="588"/>
      <c r="P91" s="745"/>
      <c r="Q91" s="591"/>
      <c r="R91" s="787"/>
      <c r="S91" s="589"/>
      <c r="T91" s="589"/>
      <c r="U91" s="589"/>
      <c r="V91" s="687"/>
      <c r="W91" s="788"/>
      <c r="X91" s="589"/>
      <c r="Y91" s="588"/>
      <c r="Z91" s="588"/>
      <c r="AA91" s="588"/>
      <c r="AB91" s="588"/>
      <c r="AC91" s="588"/>
      <c r="AD91" s="588"/>
      <c r="AE91" s="588"/>
      <c r="AF91" s="588"/>
      <c r="AG91" s="588"/>
      <c r="AH91" s="596"/>
      <c r="AI91" s="596"/>
      <c r="AJ91" s="597"/>
      <c r="AK91" s="597"/>
      <c r="AL91" s="597"/>
      <c r="AM91" s="597"/>
      <c r="AN91" s="597"/>
      <c r="AO91" s="597"/>
      <c r="AP91" s="597"/>
      <c r="AQ91" s="597"/>
      <c r="AR91" s="625"/>
    </row>
    <row r="92" spans="1:44" s="569" customFormat="1" ht="58.5" customHeight="1" x14ac:dyDescent="0.25">
      <c r="A92" s="3903"/>
      <c r="B92" s="3903"/>
      <c r="C92" s="3903"/>
      <c r="D92" s="3904"/>
      <c r="E92" s="3904"/>
      <c r="F92" s="3904"/>
      <c r="G92" s="534"/>
      <c r="H92" s="534"/>
      <c r="I92" s="781"/>
      <c r="J92" s="692">
        <v>103</v>
      </c>
      <c r="K92" s="641" t="s">
        <v>651</v>
      </c>
      <c r="L92" s="641" t="s">
        <v>652</v>
      </c>
      <c r="M92" s="693">
        <v>1</v>
      </c>
      <c r="O92" s="3754" t="s">
        <v>653</v>
      </c>
      <c r="P92" s="3770" t="s">
        <v>654</v>
      </c>
      <c r="Q92" s="789">
        <f>+V92/R92</f>
        <v>1.3996309129478067E-2</v>
      </c>
      <c r="R92" s="3906">
        <f>SUM(V92:V98)</f>
        <v>709972887</v>
      </c>
      <c r="S92" s="3756" t="s">
        <v>655</v>
      </c>
      <c r="T92" s="3770" t="s">
        <v>656</v>
      </c>
      <c r="U92" s="708" t="s">
        <v>657</v>
      </c>
      <c r="V92" s="649">
        <v>9937000</v>
      </c>
      <c r="W92" s="790" t="s">
        <v>61</v>
      </c>
      <c r="X92" s="90" t="s">
        <v>62</v>
      </c>
      <c r="Y92" s="3819">
        <v>21554</v>
      </c>
      <c r="Z92" s="3754">
        <v>22392</v>
      </c>
      <c r="AA92" s="3754">
        <v>31677</v>
      </c>
      <c r="AB92" s="3754">
        <v>10302</v>
      </c>
      <c r="AC92" s="3754">
        <v>1874</v>
      </c>
      <c r="AD92" s="3754">
        <v>93</v>
      </c>
      <c r="AE92" s="3754">
        <v>238</v>
      </c>
      <c r="AF92" s="3754">
        <v>245</v>
      </c>
      <c r="AG92" s="3754">
        <v>0</v>
      </c>
      <c r="AH92" s="3754">
        <v>0</v>
      </c>
      <c r="AI92" s="3754">
        <v>0</v>
      </c>
      <c r="AJ92" s="3754">
        <v>0</v>
      </c>
      <c r="AK92" s="3754">
        <v>2629</v>
      </c>
      <c r="AL92" s="3754">
        <v>2629</v>
      </c>
      <c r="AM92" s="3754">
        <v>2683</v>
      </c>
      <c r="AN92" s="3754">
        <v>43946</v>
      </c>
      <c r="AO92" s="3754"/>
      <c r="AP92" s="3875">
        <v>43497</v>
      </c>
      <c r="AQ92" s="3847">
        <v>43646</v>
      </c>
      <c r="AR92" s="3847" t="s">
        <v>444</v>
      </c>
    </row>
    <row r="93" spans="1:44" s="569" customFormat="1" ht="56.25" customHeight="1" x14ac:dyDescent="0.25">
      <c r="A93" s="3903"/>
      <c r="B93" s="3903"/>
      <c r="C93" s="3903"/>
      <c r="D93" s="3904"/>
      <c r="E93" s="3904"/>
      <c r="F93" s="3904"/>
      <c r="G93" s="534"/>
      <c r="H93" s="534"/>
      <c r="I93" s="781"/>
      <c r="J93" s="3783">
        <v>104</v>
      </c>
      <c r="K93" s="3754" t="s">
        <v>658</v>
      </c>
      <c r="L93" s="3756" t="s">
        <v>659</v>
      </c>
      <c r="M93" s="3798">
        <v>50</v>
      </c>
      <c r="N93" s="791"/>
      <c r="O93" s="3752"/>
      <c r="P93" s="3750"/>
      <c r="Q93" s="3909">
        <f>(+V93+V94)/R92</f>
        <v>3.9936736344693684E-2</v>
      </c>
      <c r="R93" s="3788"/>
      <c r="S93" s="3757"/>
      <c r="T93" s="3750"/>
      <c r="U93" s="3756" t="s">
        <v>660</v>
      </c>
      <c r="V93" s="652">
        <v>9937000</v>
      </c>
      <c r="W93" s="790" t="s">
        <v>61</v>
      </c>
      <c r="X93" s="90" t="s">
        <v>62</v>
      </c>
      <c r="Y93" s="3755"/>
      <c r="Z93" s="3752"/>
      <c r="AA93" s="3752"/>
      <c r="AB93" s="3752"/>
      <c r="AC93" s="3752"/>
      <c r="AD93" s="3752"/>
      <c r="AE93" s="3752"/>
      <c r="AF93" s="3752"/>
      <c r="AG93" s="3752"/>
      <c r="AH93" s="3752"/>
      <c r="AI93" s="3752"/>
      <c r="AJ93" s="3752"/>
      <c r="AK93" s="3752"/>
      <c r="AL93" s="3752"/>
      <c r="AM93" s="3752"/>
      <c r="AN93" s="3752"/>
      <c r="AO93" s="3752"/>
      <c r="AP93" s="3876"/>
      <c r="AQ93" s="3848"/>
      <c r="AR93" s="3848"/>
    </row>
    <row r="94" spans="1:44" s="569" customFormat="1" ht="33.75" customHeight="1" x14ac:dyDescent="0.25">
      <c r="A94" s="3903"/>
      <c r="B94" s="3903"/>
      <c r="C94" s="3903"/>
      <c r="D94" s="3904"/>
      <c r="E94" s="3904"/>
      <c r="F94" s="3904"/>
      <c r="G94" s="534"/>
      <c r="H94" s="534"/>
      <c r="I94" s="781"/>
      <c r="J94" s="3784"/>
      <c r="K94" s="3753"/>
      <c r="L94" s="3758"/>
      <c r="M94" s="3799"/>
      <c r="N94" s="791"/>
      <c r="O94" s="3752"/>
      <c r="P94" s="3750"/>
      <c r="Q94" s="3889"/>
      <c r="R94" s="3788"/>
      <c r="S94" s="3757"/>
      <c r="T94" s="3750"/>
      <c r="U94" s="3758"/>
      <c r="V94" s="792">
        <f>0+18417000</f>
        <v>18417000</v>
      </c>
      <c r="W94" s="790">
        <v>88</v>
      </c>
      <c r="X94" s="90" t="s">
        <v>661</v>
      </c>
      <c r="Y94" s="3755"/>
      <c r="Z94" s="3752"/>
      <c r="AA94" s="3752"/>
      <c r="AB94" s="3752"/>
      <c r="AC94" s="3752"/>
      <c r="AD94" s="3752"/>
      <c r="AE94" s="3752"/>
      <c r="AF94" s="3752"/>
      <c r="AG94" s="3752"/>
      <c r="AH94" s="3752"/>
      <c r="AI94" s="3752"/>
      <c r="AJ94" s="3752"/>
      <c r="AK94" s="3752"/>
      <c r="AL94" s="3752"/>
      <c r="AM94" s="3752"/>
      <c r="AN94" s="3752"/>
      <c r="AO94" s="3752"/>
      <c r="AP94" s="3876"/>
      <c r="AQ94" s="3848"/>
      <c r="AR94" s="3848"/>
    </row>
    <row r="95" spans="1:44" s="569" customFormat="1" ht="47.25" customHeight="1" x14ac:dyDescent="0.25">
      <c r="A95" s="3903"/>
      <c r="B95" s="3903"/>
      <c r="C95" s="3903"/>
      <c r="D95" s="3904"/>
      <c r="E95" s="3904"/>
      <c r="F95" s="3904"/>
      <c r="G95" s="534"/>
      <c r="H95" s="534"/>
      <c r="I95" s="781"/>
      <c r="J95" s="3783">
        <v>105</v>
      </c>
      <c r="K95" s="3756" t="s">
        <v>662</v>
      </c>
      <c r="L95" s="3756" t="s">
        <v>659</v>
      </c>
      <c r="M95" s="3798">
        <v>47</v>
      </c>
      <c r="N95" s="791" t="s">
        <v>663</v>
      </c>
      <c r="O95" s="3752"/>
      <c r="P95" s="3750"/>
      <c r="Q95" s="3909">
        <f>(+V95+V96)/R92</f>
        <v>0.87564172996369649</v>
      </c>
      <c r="R95" s="3788"/>
      <c r="S95" s="3757"/>
      <c r="T95" s="3750"/>
      <c r="U95" s="3864" t="s">
        <v>664</v>
      </c>
      <c r="V95" s="792">
        <v>9937000</v>
      </c>
      <c r="W95" s="790" t="s">
        <v>61</v>
      </c>
      <c r="X95" s="728" t="s">
        <v>62</v>
      </c>
      <c r="Y95" s="3755"/>
      <c r="Z95" s="3752"/>
      <c r="AA95" s="3752"/>
      <c r="AB95" s="3752"/>
      <c r="AC95" s="3752"/>
      <c r="AD95" s="3752"/>
      <c r="AE95" s="3752"/>
      <c r="AF95" s="3752"/>
      <c r="AG95" s="3752"/>
      <c r="AH95" s="3752"/>
      <c r="AI95" s="3752"/>
      <c r="AJ95" s="3752"/>
      <c r="AK95" s="3752"/>
      <c r="AL95" s="3752"/>
      <c r="AM95" s="3752"/>
      <c r="AN95" s="3752"/>
      <c r="AO95" s="3752"/>
      <c r="AP95" s="3876"/>
      <c r="AQ95" s="3848"/>
      <c r="AR95" s="3848"/>
    </row>
    <row r="96" spans="1:44" s="569" customFormat="1" ht="42.75" customHeight="1" x14ac:dyDescent="0.25">
      <c r="A96" s="3903"/>
      <c r="B96" s="3903"/>
      <c r="C96" s="3903"/>
      <c r="D96" s="3904"/>
      <c r="E96" s="3904"/>
      <c r="F96" s="3904"/>
      <c r="G96" s="534"/>
      <c r="H96" s="534"/>
      <c r="I96" s="781"/>
      <c r="J96" s="3784"/>
      <c r="K96" s="3758"/>
      <c r="L96" s="3758"/>
      <c r="M96" s="3799"/>
      <c r="N96" s="793" t="s">
        <v>665</v>
      </c>
      <c r="O96" s="3752"/>
      <c r="P96" s="3750"/>
      <c r="Q96" s="3889"/>
      <c r="R96" s="3788"/>
      <c r="S96" s="3757"/>
      <c r="T96" s="3750"/>
      <c r="U96" s="3797"/>
      <c r="V96" s="636">
        <v>611744887</v>
      </c>
      <c r="W96" s="604">
        <v>88</v>
      </c>
      <c r="X96" s="609" t="s">
        <v>661</v>
      </c>
      <c r="Y96" s="3755"/>
      <c r="Z96" s="3752"/>
      <c r="AA96" s="3752"/>
      <c r="AB96" s="3752"/>
      <c r="AC96" s="3752"/>
      <c r="AD96" s="3752"/>
      <c r="AE96" s="3752"/>
      <c r="AF96" s="3752"/>
      <c r="AG96" s="3752"/>
      <c r="AH96" s="3752"/>
      <c r="AI96" s="3752"/>
      <c r="AJ96" s="3752"/>
      <c r="AK96" s="3752"/>
      <c r="AL96" s="3752"/>
      <c r="AM96" s="3752"/>
      <c r="AN96" s="3752"/>
      <c r="AO96" s="3752"/>
      <c r="AP96" s="3876"/>
      <c r="AQ96" s="3848"/>
      <c r="AR96" s="3848"/>
    </row>
    <row r="97" spans="1:44" s="569" customFormat="1" ht="33" customHeight="1" x14ac:dyDescent="0.25">
      <c r="A97" s="3903"/>
      <c r="B97" s="3903"/>
      <c r="C97" s="3903"/>
      <c r="D97" s="3904"/>
      <c r="E97" s="3904"/>
      <c r="F97" s="3904"/>
      <c r="G97" s="534"/>
      <c r="H97" s="534"/>
      <c r="I97" s="781"/>
      <c r="J97" s="3783">
        <v>106</v>
      </c>
      <c r="K97" s="3756" t="s">
        <v>666</v>
      </c>
      <c r="L97" s="3756" t="s">
        <v>667</v>
      </c>
      <c r="M97" s="3783">
        <v>1</v>
      </c>
      <c r="N97" s="791"/>
      <c r="O97" s="3752"/>
      <c r="P97" s="3750"/>
      <c r="Q97" s="3909">
        <f>(+V97+V98)/R92</f>
        <v>7.0425224562131766E-2</v>
      </c>
      <c r="R97" s="3788"/>
      <c r="S97" s="3757"/>
      <c r="T97" s="3750"/>
      <c r="U97" s="3912" t="s">
        <v>668</v>
      </c>
      <c r="V97" s="636">
        <v>15900000</v>
      </c>
      <c r="W97" s="604" t="s">
        <v>61</v>
      </c>
      <c r="X97" s="609" t="s">
        <v>62</v>
      </c>
      <c r="Y97" s="3755"/>
      <c r="Z97" s="3752"/>
      <c r="AA97" s="3752"/>
      <c r="AB97" s="3752"/>
      <c r="AC97" s="3752"/>
      <c r="AD97" s="3752"/>
      <c r="AE97" s="3752"/>
      <c r="AF97" s="3752"/>
      <c r="AG97" s="3752"/>
      <c r="AH97" s="3752"/>
      <c r="AI97" s="3752"/>
      <c r="AJ97" s="3752"/>
      <c r="AK97" s="3752"/>
      <c r="AL97" s="3752"/>
      <c r="AM97" s="3752"/>
      <c r="AN97" s="3752"/>
      <c r="AO97" s="3752"/>
      <c r="AP97" s="3876"/>
      <c r="AQ97" s="3848"/>
      <c r="AR97" s="3848"/>
    </row>
    <row r="98" spans="1:44" s="569" customFormat="1" ht="45" customHeight="1" x14ac:dyDescent="0.25">
      <c r="A98" s="3903"/>
      <c r="B98" s="3903"/>
      <c r="C98" s="3903"/>
      <c r="D98" s="3904"/>
      <c r="E98" s="3904"/>
      <c r="F98" s="3904"/>
      <c r="G98" s="534"/>
      <c r="H98" s="534"/>
      <c r="I98" s="534"/>
      <c r="J98" s="3784"/>
      <c r="K98" s="3758"/>
      <c r="L98" s="3758"/>
      <c r="M98" s="3784"/>
      <c r="N98" s="794"/>
      <c r="O98" s="658"/>
      <c r="P98" s="795"/>
      <c r="Q98" s="3889"/>
      <c r="R98" s="3907"/>
      <c r="S98" s="796"/>
      <c r="T98" s="795"/>
      <c r="U98" s="3913"/>
      <c r="V98" s="636">
        <f>0+34100000</f>
        <v>34100000</v>
      </c>
      <c r="W98" s="604">
        <v>88</v>
      </c>
      <c r="X98" s="609" t="s">
        <v>661</v>
      </c>
      <c r="Y98" s="3824"/>
      <c r="Z98" s="3753"/>
      <c r="AA98" s="3753"/>
      <c r="AB98" s="3753"/>
      <c r="AC98" s="3753"/>
      <c r="AD98" s="3753"/>
      <c r="AE98" s="3753"/>
      <c r="AF98" s="3753"/>
      <c r="AG98" s="3753"/>
      <c r="AH98" s="3753"/>
      <c r="AI98" s="3753"/>
      <c r="AJ98" s="3753"/>
      <c r="AK98" s="3753"/>
      <c r="AL98" s="3753"/>
      <c r="AM98" s="3753"/>
      <c r="AN98" s="3753"/>
      <c r="AO98" s="3753"/>
      <c r="AP98" s="3877"/>
      <c r="AQ98" s="3849"/>
      <c r="AR98" s="3849"/>
    </row>
    <row r="99" spans="1:44" s="569" customFormat="1" ht="41.25" customHeight="1" x14ac:dyDescent="0.25">
      <c r="A99" s="3903"/>
      <c r="B99" s="3903"/>
      <c r="C99" s="3903"/>
      <c r="D99" s="3904"/>
      <c r="E99" s="3904"/>
      <c r="F99" s="3904"/>
      <c r="G99" s="534"/>
      <c r="H99" s="534"/>
      <c r="I99" s="534"/>
      <c r="J99" s="3910">
        <v>107</v>
      </c>
      <c r="K99" s="3911" t="s">
        <v>669</v>
      </c>
      <c r="L99" s="3911" t="s">
        <v>670</v>
      </c>
      <c r="M99" s="3910">
        <v>1</v>
      </c>
      <c r="N99" s="797"/>
      <c r="O99" s="3910" t="s">
        <v>671</v>
      </c>
      <c r="P99" s="2550" t="s">
        <v>672</v>
      </c>
      <c r="Q99" s="3916">
        <f>SUM(V99:V102)/R99</f>
        <v>1</v>
      </c>
      <c r="R99" s="3919">
        <f>SUM(V99:V102)</f>
        <v>294717884</v>
      </c>
      <c r="S99" s="3911" t="s">
        <v>655</v>
      </c>
      <c r="T99" s="3911" t="s">
        <v>656</v>
      </c>
      <c r="U99" s="2553" t="s">
        <v>673</v>
      </c>
      <c r="V99" s="798">
        <v>150000000</v>
      </c>
      <c r="W99" s="741">
        <v>35</v>
      </c>
      <c r="X99" s="742" t="s">
        <v>674</v>
      </c>
      <c r="Y99" s="2549">
        <v>21554</v>
      </c>
      <c r="Z99" s="3910">
        <v>22392</v>
      </c>
      <c r="AA99" s="3915">
        <v>31677</v>
      </c>
      <c r="AB99" s="3914">
        <v>10302</v>
      </c>
      <c r="AC99" s="3915">
        <v>15916</v>
      </c>
      <c r="AD99" s="3914">
        <v>15683</v>
      </c>
      <c r="AE99" s="3914">
        <v>238</v>
      </c>
      <c r="AF99" s="3915">
        <v>245</v>
      </c>
      <c r="AG99" s="3914">
        <v>0</v>
      </c>
      <c r="AH99" s="3914">
        <v>0</v>
      </c>
      <c r="AI99" s="3914">
        <v>0</v>
      </c>
      <c r="AJ99" s="3920">
        <v>0</v>
      </c>
      <c r="AK99" s="3920">
        <v>2629</v>
      </c>
      <c r="AL99" s="3920">
        <v>2665</v>
      </c>
      <c r="AM99" s="3920">
        <v>2683</v>
      </c>
      <c r="AN99" s="3902">
        <v>43946</v>
      </c>
      <c r="AO99" s="3835"/>
      <c r="AP99" s="3875"/>
      <c r="AQ99" s="3875"/>
      <c r="AR99" s="3902" t="s">
        <v>444</v>
      </c>
    </row>
    <row r="100" spans="1:44" s="569" customFormat="1" ht="32.25" customHeight="1" x14ac:dyDescent="0.25">
      <c r="A100" s="3903"/>
      <c r="B100" s="3903"/>
      <c r="C100" s="3903"/>
      <c r="D100" s="3904"/>
      <c r="E100" s="3904"/>
      <c r="F100" s="3904"/>
      <c r="G100" s="534"/>
      <c r="H100" s="534"/>
      <c r="I100" s="534"/>
      <c r="J100" s="3910"/>
      <c r="K100" s="3911"/>
      <c r="L100" s="3911"/>
      <c r="M100" s="3910"/>
      <c r="N100" s="799" t="s">
        <v>675</v>
      </c>
      <c r="O100" s="3910"/>
      <c r="P100" s="2550"/>
      <c r="Q100" s="3917"/>
      <c r="R100" s="3919"/>
      <c r="S100" s="3911"/>
      <c r="T100" s="3911"/>
      <c r="U100" s="2554"/>
      <c r="V100" s="800">
        <v>44717884</v>
      </c>
      <c r="W100" s="724">
        <v>20</v>
      </c>
      <c r="X100" s="90" t="s">
        <v>676</v>
      </c>
      <c r="Y100" s="2549"/>
      <c r="Z100" s="3910"/>
      <c r="AA100" s="3915"/>
      <c r="AB100" s="3914"/>
      <c r="AC100" s="3915"/>
      <c r="AD100" s="3914"/>
      <c r="AE100" s="3914"/>
      <c r="AF100" s="3915"/>
      <c r="AG100" s="3914"/>
      <c r="AH100" s="3914"/>
      <c r="AI100" s="3914"/>
      <c r="AJ100" s="3920"/>
      <c r="AK100" s="3920"/>
      <c r="AL100" s="3920"/>
      <c r="AM100" s="3920"/>
      <c r="AN100" s="3902"/>
      <c r="AO100" s="3836"/>
      <c r="AP100" s="3876"/>
      <c r="AQ100" s="3876"/>
      <c r="AR100" s="3902"/>
    </row>
    <row r="101" spans="1:44" s="569" customFormat="1" ht="41.25" customHeight="1" x14ac:dyDescent="0.25">
      <c r="A101" s="3903"/>
      <c r="B101" s="3903"/>
      <c r="C101" s="3903"/>
      <c r="D101" s="3904"/>
      <c r="E101" s="3904"/>
      <c r="F101" s="3904"/>
      <c r="G101" s="534"/>
      <c r="H101" s="534"/>
      <c r="I101" s="534"/>
      <c r="J101" s="3910"/>
      <c r="K101" s="3911"/>
      <c r="L101" s="3911"/>
      <c r="M101" s="3910"/>
      <c r="N101" s="658" t="s">
        <v>677</v>
      </c>
      <c r="O101" s="3910"/>
      <c r="P101" s="2550"/>
      <c r="Q101" s="3917"/>
      <c r="R101" s="3919"/>
      <c r="S101" s="3911"/>
      <c r="T101" s="3911"/>
      <c r="U101" s="801" t="s">
        <v>678</v>
      </c>
      <c r="V101" s="800">
        <v>0</v>
      </c>
      <c r="W101" s="724"/>
      <c r="X101" s="90"/>
      <c r="Y101" s="2549"/>
      <c r="Z101" s="3910"/>
      <c r="AA101" s="3915"/>
      <c r="AB101" s="3914"/>
      <c r="AC101" s="3915"/>
      <c r="AD101" s="3914"/>
      <c r="AE101" s="3914"/>
      <c r="AF101" s="3915"/>
      <c r="AG101" s="3914"/>
      <c r="AH101" s="3914"/>
      <c r="AI101" s="3914"/>
      <c r="AJ101" s="3920"/>
      <c r="AK101" s="3920"/>
      <c r="AL101" s="3920"/>
      <c r="AM101" s="3920"/>
      <c r="AN101" s="3902"/>
      <c r="AO101" s="3836"/>
      <c r="AP101" s="3876"/>
      <c r="AQ101" s="3876"/>
      <c r="AR101" s="3902"/>
    </row>
    <row r="102" spans="1:44" s="569" customFormat="1" ht="76.5" customHeight="1" x14ac:dyDescent="0.25">
      <c r="A102" s="3903"/>
      <c r="B102" s="3903"/>
      <c r="C102" s="3903"/>
      <c r="D102" s="3905"/>
      <c r="E102" s="3905"/>
      <c r="F102" s="3905"/>
      <c r="G102" s="534"/>
      <c r="H102" s="534"/>
      <c r="I102" s="534"/>
      <c r="J102" s="3910"/>
      <c r="K102" s="3911"/>
      <c r="L102" s="3911"/>
      <c r="M102" s="3910"/>
      <c r="N102" s="802"/>
      <c r="O102" s="3910"/>
      <c r="P102" s="2550"/>
      <c r="Q102" s="3918"/>
      <c r="R102" s="3919"/>
      <c r="S102" s="3911"/>
      <c r="T102" s="3911"/>
      <c r="U102" s="90" t="s">
        <v>679</v>
      </c>
      <c r="V102" s="730">
        <v>100000000</v>
      </c>
      <c r="W102" s="724">
        <v>20</v>
      </c>
      <c r="X102" s="90" t="s">
        <v>676</v>
      </c>
      <c r="Y102" s="2549"/>
      <c r="Z102" s="3910"/>
      <c r="AA102" s="3915"/>
      <c r="AB102" s="3914"/>
      <c r="AC102" s="3915"/>
      <c r="AD102" s="3914"/>
      <c r="AE102" s="3914"/>
      <c r="AF102" s="3915"/>
      <c r="AG102" s="3914"/>
      <c r="AH102" s="3914"/>
      <c r="AI102" s="3914"/>
      <c r="AJ102" s="3920"/>
      <c r="AK102" s="3920"/>
      <c r="AL102" s="3920"/>
      <c r="AM102" s="3920"/>
      <c r="AN102" s="3902"/>
      <c r="AO102" s="3837"/>
      <c r="AP102" s="3877"/>
      <c r="AQ102" s="3877"/>
      <c r="AR102" s="3902"/>
    </row>
    <row r="103" spans="1:44" s="569" customFormat="1" ht="15.75" x14ac:dyDescent="0.25">
      <c r="A103" s="755"/>
      <c r="B103" s="756"/>
      <c r="C103" s="757"/>
      <c r="D103" s="670">
        <v>8</v>
      </c>
      <c r="E103" s="671" t="s">
        <v>680</v>
      </c>
      <c r="F103" s="671"/>
      <c r="G103" s="574"/>
      <c r="H103" s="574"/>
      <c r="I103" s="574"/>
      <c r="J103" s="671"/>
      <c r="K103" s="672"/>
      <c r="L103" s="672"/>
      <c r="M103" s="803"/>
      <c r="N103" s="804"/>
      <c r="O103" s="804"/>
      <c r="P103" s="805"/>
      <c r="Q103" s="806"/>
      <c r="R103" s="807"/>
      <c r="S103" s="672"/>
      <c r="T103" s="672"/>
      <c r="U103" s="672"/>
      <c r="V103" s="676"/>
      <c r="W103" s="808"/>
      <c r="X103" s="672"/>
      <c r="Y103" s="804"/>
      <c r="Z103" s="804"/>
      <c r="AA103" s="809"/>
      <c r="AB103" s="809"/>
      <c r="AC103" s="809"/>
      <c r="AD103" s="809"/>
      <c r="AE103" s="809"/>
      <c r="AF103" s="809"/>
      <c r="AG103" s="809"/>
      <c r="AH103" s="808"/>
      <c r="AI103" s="808"/>
      <c r="AJ103" s="810"/>
      <c r="AK103" s="810"/>
      <c r="AL103" s="810"/>
      <c r="AM103" s="810"/>
      <c r="AN103" s="811"/>
      <c r="AO103" s="811"/>
      <c r="AP103" s="811"/>
      <c r="AQ103" s="811"/>
      <c r="AR103" s="812"/>
    </row>
    <row r="104" spans="1:44" s="569" customFormat="1" ht="15.75" x14ac:dyDescent="0.25">
      <c r="A104" s="755"/>
      <c r="B104" s="756"/>
      <c r="C104" s="756"/>
      <c r="D104" s="813"/>
      <c r="E104" s="814"/>
      <c r="F104" s="815"/>
      <c r="G104" s="685">
        <v>25</v>
      </c>
      <c r="H104" s="588" t="s">
        <v>681</v>
      </c>
      <c r="I104" s="588"/>
      <c r="J104" s="588"/>
      <c r="K104" s="589"/>
      <c r="L104" s="589"/>
      <c r="M104" s="621"/>
      <c r="N104" s="686"/>
      <c r="O104" s="621"/>
      <c r="P104" s="745"/>
      <c r="Q104" s="621"/>
      <c r="R104" s="623"/>
      <c r="S104" s="589"/>
      <c r="T104" s="589"/>
      <c r="U104" s="589"/>
      <c r="V104" s="687"/>
      <c r="W104" s="686"/>
      <c r="X104" s="589"/>
      <c r="Y104" s="621"/>
      <c r="Z104" s="621"/>
      <c r="AA104" s="621"/>
      <c r="AB104" s="621"/>
      <c r="AC104" s="621"/>
      <c r="AD104" s="621"/>
      <c r="AE104" s="621"/>
      <c r="AF104" s="621"/>
      <c r="AG104" s="621"/>
      <c r="AH104" s="621"/>
      <c r="AI104" s="621"/>
      <c r="AJ104" s="597"/>
      <c r="AK104" s="597"/>
      <c r="AL104" s="597"/>
      <c r="AM104" s="597"/>
      <c r="AN104" s="597"/>
      <c r="AO104" s="597"/>
      <c r="AP104" s="597"/>
      <c r="AQ104" s="597"/>
      <c r="AR104" s="625"/>
    </row>
    <row r="105" spans="1:44" s="569" customFormat="1" ht="48" customHeight="1" x14ac:dyDescent="0.25">
      <c r="A105" s="755"/>
      <c r="B105" s="756"/>
      <c r="C105" s="756"/>
      <c r="D105" s="816"/>
      <c r="E105" s="817"/>
      <c r="F105" s="818"/>
      <c r="G105" s="689"/>
      <c r="H105" s="689"/>
      <c r="I105" s="689"/>
      <c r="J105" s="3783">
        <v>108</v>
      </c>
      <c r="K105" s="3756" t="s">
        <v>682</v>
      </c>
      <c r="L105" s="3756" t="s">
        <v>683</v>
      </c>
      <c r="M105" s="3798">
        <v>4</v>
      </c>
      <c r="N105" s="3754" t="s">
        <v>684</v>
      </c>
      <c r="O105" s="3754" t="s">
        <v>685</v>
      </c>
      <c r="P105" s="3750" t="s">
        <v>686</v>
      </c>
      <c r="Q105" s="3909">
        <f>V105/R105</f>
        <v>0.27072585259981274</v>
      </c>
      <c r="R105" s="3788">
        <f>+V105+V107</f>
        <v>36705028</v>
      </c>
      <c r="S105" s="3750" t="s">
        <v>687</v>
      </c>
      <c r="T105" s="3756" t="s">
        <v>688</v>
      </c>
      <c r="U105" s="3864" t="s">
        <v>689</v>
      </c>
      <c r="V105" s="3921">
        <v>9937000</v>
      </c>
      <c r="W105" s="3923">
        <v>20</v>
      </c>
      <c r="X105" s="3795" t="s">
        <v>357</v>
      </c>
      <c r="Y105" s="3826">
        <v>21554</v>
      </c>
      <c r="Z105" s="3826">
        <v>22392</v>
      </c>
      <c r="AA105" s="3826">
        <v>31677</v>
      </c>
      <c r="AB105" s="3826">
        <v>10302</v>
      </c>
      <c r="AC105" s="3826">
        <v>15916</v>
      </c>
      <c r="AD105" s="3826">
        <v>15683</v>
      </c>
      <c r="AE105" s="3826">
        <v>238</v>
      </c>
      <c r="AF105" s="3826">
        <v>245</v>
      </c>
      <c r="AG105" s="3826">
        <v>0</v>
      </c>
      <c r="AH105" s="3826">
        <v>0</v>
      </c>
      <c r="AI105" s="3826">
        <v>0</v>
      </c>
      <c r="AJ105" s="3826">
        <v>0</v>
      </c>
      <c r="AK105" s="3826">
        <v>2629</v>
      </c>
      <c r="AL105" s="3826">
        <v>2665</v>
      </c>
      <c r="AM105" s="3826">
        <v>2683</v>
      </c>
      <c r="AN105" s="3826">
        <v>43946</v>
      </c>
      <c r="AO105" s="785"/>
      <c r="AP105" s="3847"/>
      <c r="AQ105" s="3847"/>
      <c r="AR105" s="3835" t="s">
        <v>444</v>
      </c>
    </row>
    <row r="106" spans="1:44" s="569" customFormat="1" ht="36" customHeight="1" x14ac:dyDescent="0.25">
      <c r="A106" s="755"/>
      <c r="B106" s="756"/>
      <c r="C106" s="756"/>
      <c r="D106" s="816"/>
      <c r="E106" s="817"/>
      <c r="F106" s="818"/>
      <c r="G106" s="689"/>
      <c r="H106" s="689"/>
      <c r="I106" s="689"/>
      <c r="J106" s="3784"/>
      <c r="K106" s="3758"/>
      <c r="L106" s="3758"/>
      <c r="M106" s="3799"/>
      <c r="N106" s="3752"/>
      <c r="O106" s="3752"/>
      <c r="P106" s="3750"/>
      <c r="Q106" s="3889"/>
      <c r="R106" s="3788"/>
      <c r="S106" s="3750"/>
      <c r="T106" s="3758"/>
      <c r="U106" s="3865"/>
      <c r="V106" s="3922"/>
      <c r="W106" s="3923"/>
      <c r="X106" s="3795"/>
      <c r="Y106" s="3827"/>
      <c r="Z106" s="3827"/>
      <c r="AA106" s="3827"/>
      <c r="AB106" s="3827"/>
      <c r="AC106" s="3827"/>
      <c r="AD106" s="3827"/>
      <c r="AE106" s="3827"/>
      <c r="AF106" s="3827"/>
      <c r="AG106" s="3827"/>
      <c r="AH106" s="3827"/>
      <c r="AI106" s="3827"/>
      <c r="AJ106" s="3827"/>
      <c r="AK106" s="3827"/>
      <c r="AL106" s="3827"/>
      <c r="AM106" s="3827"/>
      <c r="AN106" s="3827"/>
      <c r="AO106" s="749"/>
      <c r="AP106" s="3848"/>
      <c r="AQ106" s="3848"/>
      <c r="AR106" s="3836"/>
    </row>
    <row r="107" spans="1:44" s="569" customFormat="1" ht="95.25" customHeight="1" x14ac:dyDescent="0.25">
      <c r="A107" s="755"/>
      <c r="B107" s="756"/>
      <c r="C107" s="756"/>
      <c r="D107" s="816"/>
      <c r="E107" s="817"/>
      <c r="F107" s="818"/>
      <c r="G107" s="689"/>
      <c r="H107" s="689"/>
      <c r="I107" s="689"/>
      <c r="J107" s="713">
        <v>109</v>
      </c>
      <c r="K107" s="654" t="s">
        <v>690</v>
      </c>
      <c r="L107" s="654" t="s">
        <v>691</v>
      </c>
      <c r="M107" s="714">
        <v>52</v>
      </c>
      <c r="N107" s="3753"/>
      <c r="O107" s="3753"/>
      <c r="P107" s="3750"/>
      <c r="Q107" s="715">
        <f>V107/R105</f>
        <v>0.72927414740018726</v>
      </c>
      <c r="R107" s="3788"/>
      <c r="S107" s="3750"/>
      <c r="T107" s="654" t="s">
        <v>692</v>
      </c>
      <c r="U107" s="716" t="s">
        <v>693</v>
      </c>
      <c r="V107" s="819">
        <v>26768028</v>
      </c>
      <c r="W107" s="711">
        <v>20</v>
      </c>
      <c r="X107" s="313" t="s">
        <v>62</v>
      </c>
      <c r="Y107" s="3861"/>
      <c r="Z107" s="3861"/>
      <c r="AA107" s="3861"/>
      <c r="AB107" s="3861"/>
      <c r="AC107" s="3861"/>
      <c r="AD107" s="3861"/>
      <c r="AE107" s="3861"/>
      <c r="AF107" s="3861"/>
      <c r="AG107" s="3861"/>
      <c r="AH107" s="3861"/>
      <c r="AI107" s="3861"/>
      <c r="AJ107" s="3861"/>
      <c r="AK107" s="3861"/>
      <c r="AL107" s="3861"/>
      <c r="AM107" s="3861"/>
      <c r="AN107" s="3861"/>
      <c r="AO107" s="749"/>
      <c r="AP107" s="3849"/>
      <c r="AQ107" s="3849"/>
      <c r="AR107" s="3837"/>
    </row>
    <row r="108" spans="1:44" s="569" customFormat="1" ht="15.75" x14ac:dyDescent="0.25">
      <c r="A108" s="820"/>
      <c r="B108" s="821"/>
      <c r="C108" s="821"/>
      <c r="D108" s="820"/>
      <c r="E108" s="821"/>
      <c r="F108" s="822"/>
      <c r="G108" s="685">
        <v>26</v>
      </c>
      <c r="H108" s="588" t="s">
        <v>694</v>
      </c>
      <c r="I108" s="588"/>
      <c r="J108" s="588"/>
      <c r="K108" s="589"/>
      <c r="L108" s="589"/>
      <c r="M108" s="621"/>
      <c r="N108" s="686"/>
      <c r="O108" s="621"/>
      <c r="P108" s="745"/>
      <c r="Q108" s="621"/>
      <c r="R108" s="623"/>
      <c r="S108" s="589"/>
      <c r="T108" s="589"/>
      <c r="U108" s="589"/>
      <c r="V108" s="687"/>
      <c r="W108" s="686"/>
      <c r="X108" s="589"/>
      <c r="Y108" s="621"/>
      <c r="Z108" s="621"/>
      <c r="AA108" s="621"/>
      <c r="AB108" s="621"/>
      <c r="AC108" s="621"/>
      <c r="AD108" s="621"/>
      <c r="AE108" s="621"/>
      <c r="AF108" s="621"/>
      <c r="AG108" s="621"/>
      <c r="AH108" s="621"/>
      <c r="AI108" s="621"/>
      <c r="AJ108" s="597"/>
      <c r="AK108" s="597"/>
      <c r="AL108" s="597"/>
      <c r="AM108" s="597"/>
      <c r="AN108" s="597"/>
      <c r="AO108" s="597"/>
      <c r="AP108" s="597"/>
      <c r="AQ108" s="597"/>
      <c r="AR108" s="625"/>
    </row>
    <row r="109" spans="1:44" s="569" customFormat="1" ht="53.25" customHeight="1" x14ac:dyDescent="0.25">
      <c r="A109" s="755" t="s">
        <v>695</v>
      </c>
      <c r="B109" s="756"/>
      <c r="C109" s="756"/>
      <c r="D109" s="755"/>
      <c r="E109" s="756"/>
      <c r="F109" s="757"/>
      <c r="G109" s="3924"/>
      <c r="H109" s="3925"/>
      <c r="I109" s="3926"/>
      <c r="J109" s="2549">
        <v>110</v>
      </c>
      <c r="K109" s="3795" t="s">
        <v>696</v>
      </c>
      <c r="L109" s="3802" t="s">
        <v>697</v>
      </c>
      <c r="M109" s="3932">
        <v>200</v>
      </c>
      <c r="N109" s="3802" t="s">
        <v>698</v>
      </c>
      <c r="O109" s="3802" t="s">
        <v>699</v>
      </c>
      <c r="P109" s="3795" t="s">
        <v>700</v>
      </c>
      <c r="Q109" s="3933">
        <f>(+V109+V110+V111)/R109</f>
        <v>1</v>
      </c>
      <c r="R109" s="3936">
        <f>+V109+V110+V111</f>
        <v>650000000</v>
      </c>
      <c r="S109" s="3937" t="s">
        <v>701</v>
      </c>
      <c r="T109" s="3795" t="s">
        <v>702</v>
      </c>
      <c r="U109" s="2550" t="s">
        <v>703</v>
      </c>
      <c r="V109" s="652">
        <v>600000000</v>
      </c>
      <c r="W109" s="823">
        <v>25</v>
      </c>
      <c r="X109" s="313" t="s">
        <v>704</v>
      </c>
      <c r="Y109" s="3826">
        <v>21554</v>
      </c>
      <c r="Z109" s="3826">
        <v>22392</v>
      </c>
      <c r="AA109" s="3826">
        <v>31677</v>
      </c>
      <c r="AB109" s="3826">
        <v>10302</v>
      </c>
      <c r="AC109" s="3826">
        <v>15916</v>
      </c>
      <c r="AD109" s="3826">
        <v>15683</v>
      </c>
      <c r="AE109" s="3826">
        <v>238</v>
      </c>
      <c r="AF109" s="3826">
        <v>245</v>
      </c>
      <c r="AG109" s="3826">
        <v>0</v>
      </c>
      <c r="AH109" s="3826">
        <v>0</v>
      </c>
      <c r="AI109" s="3826">
        <v>0</v>
      </c>
      <c r="AJ109" s="3826">
        <v>0</v>
      </c>
      <c r="AK109" s="3826">
        <v>2629</v>
      </c>
      <c r="AL109" s="3826">
        <v>2665</v>
      </c>
      <c r="AM109" s="3826">
        <v>2683</v>
      </c>
      <c r="AN109" s="3826">
        <v>43946</v>
      </c>
      <c r="AO109" s="785"/>
      <c r="AP109" s="3938">
        <v>43466</v>
      </c>
      <c r="AQ109" s="3934">
        <v>43585</v>
      </c>
      <c r="AR109" s="3835" t="s">
        <v>444</v>
      </c>
    </row>
    <row r="110" spans="1:44" s="569" customFormat="1" ht="53.25" customHeight="1" x14ac:dyDescent="0.25">
      <c r="A110" s="755"/>
      <c r="B110" s="756"/>
      <c r="C110" s="756"/>
      <c r="D110" s="755"/>
      <c r="E110" s="756"/>
      <c r="F110" s="757"/>
      <c r="G110" s="3927"/>
      <c r="H110" s="3928"/>
      <c r="I110" s="3840"/>
      <c r="J110" s="2549"/>
      <c r="K110" s="3795"/>
      <c r="L110" s="3802"/>
      <c r="M110" s="3932"/>
      <c r="N110" s="3802"/>
      <c r="O110" s="3802"/>
      <c r="P110" s="3795"/>
      <c r="Q110" s="3933"/>
      <c r="R110" s="3936"/>
      <c r="S110" s="3937"/>
      <c r="T110" s="3795"/>
      <c r="U110" s="2550"/>
      <c r="V110" s="652">
        <v>10000000</v>
      </c>
      <c r="W110" s="824">
        <v>20</v>
      </c>
      <c r="X110" s="315" t="s">
        <v>62</v>
      </c>
      <c r="Y110" s="3827"/>
      <c r="Z110" s="3827"/>
      <c r="AA110" s="3827"/>
      <c r="AB110" s="3827"/>
      <c r="AC110" s="3827"/>
      <c r="AD110" s="3827"/>
      <c r="AE110" s="3827"/>
      <c r="AF110" s="3827"/>
      <c r="AG110" s="3827"/>
      <c r="AH110" s="3827"/>
      <c r="AI110" s="3827"/>
      <c r="AJ110" s="3827"/>
      <c r="AK110" s="3827"/>
      <c r="AL110" s="3827"/>
      <c r="AM110" s="3827"/>
      <c r="AN110" s="3827"/>
      <c r="AO110" s="749"/>
      <c r="AP110" s="3939"/>
      <c r="AQ110" s="3935"/>
      <c r="AR110" s="3836"/>
    </row>
    <row r="111" spans="1:44" s="569" customFormat="1" ht="48.75" customHeight="1" x14ac:dyDescent="0.25">
      <c r="A111" s="755"/>
      <c r="B111" s="756"/>
      <c r="C111" s="756"/>
      <c r="D111" s="755"/>
      <c r="E111" s="756"/>
      <c r="F111" s="757"/>
      <c r="G111" s="3929"/>
      <c r="H111" s="3930"/>
      <c r="I111" s="3931"/>
      <c r="J111" s="2549"/>
      <c r="K111" s="3795"/>
      <c r="L111" s="3802"/>
      <c r="M111" s="3932"/>
      <c r="N111" s="3802"/>
      <c r="O111" s="3802"/>
      <c r="P111" s="3795"/>
      <c r="Q111" s="3933"/>
      <c r="R111" s="3936"/>
      <c r="S111" s="3937"/>
      <c r="T111" s="3795"/>
      <c r="U111" s="2550"/>
      <c r="V111" s="725">
        <v>40000000</v>
      </c>
      <c r="W111" s="825">
        <v>88</v>
      </c>
      <c r="X111" s="615" t="s">
        <v>446</v>
      </c>
      <c r="Y111" s="3931"/>
      <c r="Z111" s="3861"/>
      <c r="AA111" s="3861"/>
      <c r="AB111" s="3861"/>
      <c r="AC111" s="3861"/>
      <c r="AD111" s="3861"/>
      <c r="AE111" s="3861"/>
      <c r="AF111" s="3861"/>
      <c r="AG111" s="3861"/>
      <c r="AH111" s="3861"/>
      <c r="AI111" s="3861"/>
      <c r="AJ111" s="3861"/>
      <c r="AK111" s="3861"/>
      <c r="AL111" s="3861"/>
      <c r="AM111" s="3861"/>
      <c r="AN111" s="3861"/>
      <c r="AO111" s="826"/>
      <c r="AP111" s="3940"/>
      <c r="AQ111" s="3861"/>
      <c r="AR111" s="3836"/>
    </row>
    <row r="112" spans="1:44" s="569" customFormat="1" ht="15.75" x14ac:dyDescent="0.25">
      <c r="A112" s="820"/>
      <c r="B112" s="821"/>
      <c r="C112" s="821"/>
      <c r="D112" s="820"/>
      <c r="E112" s="821"/>
      <c r="F112" s="822"/>
      <c r="G112" s="685">
        <v>27</v>
      </c>
      <c r="H112" s="588" t="s">
        <v>705</v>
      </c>
      <c r="I112" s="588"/>
      <c r="J112" s="588"/>
      <c r="K112" s="589"/>
      <c r="L112" s="589"/>
      <c r="M112" s="621"/>
      <c r="N112" s="686"/>
      <c r="O112" s="621"/>
      <c r="P112" s="745"/>
      <c r="Q112" s="621"/>
      <c r="R112" s="623"/>
      <c r="S112" s="589"/>
      <c r="T112" s="589"/>
      <c r="U112" s="589"/>
      <c r="V112" s="777"/>
      <c r="W112" s="622"/>
      <c r="X112" s="718"/>
      <c r="Y112" s="621"/>
      <c r="Z112" s="621"/>
      <c r="AA112" s="621"/>
      <c r="AB112" s="621"/>
      <c r="AC112" s="621"/>
      <c r="AD112" s="621"/>
      <c r="AE112" s="621"/>
      <c r="AF112" s="621"/>
      <c r="AG112" s="621"/>
      <c r="AH112" s="621"/>
      <c r="AI112" s="621"/>
      <c r="AJ112" s="597"/>
      <c r="AK112" s="597"/>
      <c r="AL112" s="597"/>
      <c r="AM112" s="597"/>
      <c r="AN112" s="597"/>
      <c r="AO112" s="597"/>
      <c r="AP112" s="597"/>
      <c r="AQ112" s="597"/>
      <c r="AR112" s="625"/>
    </row>
    <row r="113" spans="1:44" s="569" customFormat="1" ht="120" customHeight="1" x14ac:dyDescent="0.25">
      <c r="A113" s="820"/>
      <c r="B113" s="821"/>
      <c r="C113" s="821"/>
      <c r="D113" s="820"/>
      <c r="E113" s="821"/>
      <c r="F113" s="822"/>
      <c r="G113" s="689"/>
      <c r="H113" s="689"/>
      <c r="I113" s="689"/>
      <c r="J113" s="827">
        <v>111</v>
      </c>
      <c r="K113" s="828" t="s">
        <v>706</v>
      </c>
      <c r="L113" s="828" t="s">
        <v>707</v>
      </c>
      <c r="M113" s="829">
        <v>1</v>
      </c>
      <c r="N113" s="723" t="s">
        <v>708</v>
      </c>
      <c r="O113" s="658" t="s">
        <v>709</v>
      </c>
      <c r="P113" s="795" t="s">
        <v>710</v>
      </c>
      <c r="Q113" s="695">
        <f>+V113/R113</f>
        <v>1</v>
      </c>
      <c r="R113" s="830">
        <f>+V113</f>
        <v>3503000000</v>
      </c>
      <c r="S113" s="828" t="s">
        <v>711</v>
      </c>
      <c r="T113" s="828" t="s">
        <v>712</v>
      </c>
      <c r="U113" s="696" t="s">
        <v>713</v>
      </c>
      <c r="V113" s="831">
        <v>3503000000</v>
      </c>
      <c r="W113" s="832">
        <v>25</v>
      </c>
      <c r="X113" s="795" t="s">
        <v>485</v>
      </c>
      <c r="Y113" s="749">
        <v>21554</v>
      </c>
      <c r="Z113" s="749">
        <v>22392</v>
      </c>
      <c r="AA113" s="833">
        <v>31677</v>
      </c>
      <c r="AB113" s="833">
        <v>10302</v>
      </c>
      <c r="AC113" s="833">
        <v>15916</v>
      </c>
      <c r="AD113" s="833">
        <v>15683</v>
      </c>
      <c r="AE113" s="833">
        <v>238</v>
      </c>
      <c r="AF113" s="833">
        <v>245</v>
      </c>
      <c r="AG113" s="833">
        <v>0</v>
      </c>
      <c r="AH113" s="833">
        <v>0</v>
      </c>
      <c r="AI113" s="834">
        <v>0</v>
      </c>
      <c r="AJ113" s="835">
        <v>0</v>
      </c>
      <c r="AK113" s="835">
        <v>2629</v>
      </c>
      <c r="AL113" s="835">
        <v>2665</v>
      </c>
      <c r="AM113" s="835">
        <v>2683</v>
      </c>
      <c r="AN113" s="836">
        <f>Y113+Z113</f>
        <v>43946</v>
      </c>
      <c r="AO113" s="836">
        <v>43946</v>
      </c>
      <c r="AP113" s="837">
        <v>43466</v>
      </c>
      <c r="AQ113" s="837">
        <v>43830</v>
      </c>
      <c r="AR113" s="838" t="s">
        <v>444</v>
      </c>
    </row>
    <row r="114" spans="1:44" s="569" customFormat="1" ht="15.75" x14ac:dyDescent="0.25">
      <c r="A114" s="820"/>
      <c r="B114" s="821"/>
      <c r="C114" s="821"/>
      <c r="D114" s="820"/>
      <c r="E114" s="821"/>
      <c r="F114" s="822"/>
      <c r="G114" s="685">
        <v>28</v>
      </c>
      <c r="H114" s="588" t="s">
        <v>714</v>
      </c>
      <c r="I114" s="588"/>
      <c r="J114" s="588"/>
      <c r="K114" s="589"/>
      <c r="L114" s="589"/>
      <c r="M114" s="621"/>
      <c r="N114" s="686"/>
      <c r="O114" s="686"/>
      <c r="P114" s="745"/>
      <c r="Q114" s="839"/>
      <c r="R114" s="623"/>
      <c r="S114" s="589"/>
      <c r="T114" s="589"/>
      <c r="U114" s="589"/>
      <c r="V114" s="687"/>
      <c r="W114" s="840"/>
      <c r="X114" s="589"/>
      <c r="Y114" s="686"/>
      <c r="Z114" s="686"/>
      <c r="AA114" s="621"/>
      <c r="AB114" s="621"/>
      <c r="AC114" s="621"/>
      <c r="AD114" s="621"/>
      <c r="AE114" s="621"/>
      <c r="AF114" s="621"/>
      <c r="AG114" s="621"/>
      <c r="AH114" s="841"/>
      <c r="AI114" s="841"/>
      <c r="AJ114" s="597"/>
      <c r="AK114" s="597"/>
      <c r="AL114" s="597"/>
      <c r="AM114" s="597"/>
      <c r="AN114" s="597"/>
      <c r="AO114" s="597"/>
      <c r="AP114" s="842"/>
      <c r="AQ114" s="597"/>
      <c r="AR114" s="625"/>
    </row>
    <row r="115" spans="1:44" s="569" customFormat="1" ht="48" customHeight="1" x14ac:dyDescent="0.25">
      <c r="A115" s="820"/>
      <c r="B115" s="821"/>
      <c r="C115" s="821"/>
      <c r="D115" s="816"/>
      <c r="E115" s="817"/>
      <c r="F115" s="818"/>
      <c r="G115" s="534"/>
      <c r="H115" s="534"/>
      <c r="I115" s="534"/>
      <c r="J115" s="3775">
        <v>112</v>
      </c>
      <c r="K115" s="3750" t="s">
        <v>715</v>
      </c>
      <c r="L115" s="3750" t="s">
        <v>716</v>
      </c>
      <c r="M115" s="3827">
        <v>12</v>
      </c>
      <c r="N115" s="3752" t="s">
        <v>717</v>
      </c>
      <c r="O115" s="3752" t="s">
        <v>718</v>
      </c>
      <c r="P115" s="3750" t="s">
        <v>719</v>
      </c>
      <c r="Q115" s="3893">
        <f>+V115/R115</f>
        <v>0.14375937670534561</v>
      </c>
      <c r="R115" s="3838">
        <f>+V115+V117</f>
        <v>20868204</v>
      </c>
      <c r="S115" s="3770" t="s">
        <v>720</v>
      </c>
      <c r="T115" s="3750" t="s">
        <v>721</v>
      </c>
      <c r="U115" s="3750" t="s">
        <v>722</v>
      </c>
      <c r="V115" s="3886">
        <v>3000000</v>
      </c>
      <c r="W115" s="3923">
        <v>20</v>
      </c>
      <c r="X115" s="3795" t="s">
        <v>62</v>
      </c>
      <c r="Y115" s="3827">
        <v>21554</v>
      </c>
      <c r="Z115" s="3827">
        <v>22392</v>
      </c>
      <c r="AA115" s="3827">
        <v>31677</v>
      </c>
      <c r="AB115" s="3827">
        <v>10302</v>
      </c>
      <c r="AC115" s="3827">
        <v>15916</v>
      </c>
      <c r="AD115" s="3827">
        <v>15683</v>
      </c>
      <c r="AE115" s="3827">
        <v>238</v>
      </c>
      <c r="AF115" s="3827">
        <v>245</v>
      </c>
      <c r="AG115" s="3827">
        <v>0</v>
      </c>
      <c r="AH115" s="3827">
        <v>0</v>
      </c>
      <c r="AI115" s="3827">
        <v>0</v>
      </c>
      <c r="AJ115" s="3827">
        <v>0</v>
      </c>
      <c r="AK115" s="3827">
        <v>2629</v>
      </c>
      <c r="AL115" s="3827">
        <v>2665</v>
      </c>
      <c r="AM115" s="3827">
        <v>2683</v>
      </c>
      <c r="AN115" s="3927">
        <f>Y115+Z115</f>
        <v>43946</v>
      </c>
      <c r="AO115" s="3826"/>
      <c r="AP115" s="3847"/>
      <c r="AQ115" s="3875"/>
      <c r="AR115" s="3836" t="s">
        <v>444</v>
      </c>
    </row>
    <row r="116" spans="1:44" s="569" customFormat="1" ht="55.5" customHeight="1" x14ac:dyDescent="0.25">
      <c r="A116" s="820"/>
      <c r="B116" s="821"/>
      <c r="C116" s="821"/>
      <c r="D116" s="816"/>
      <c r="E116" s="817"/>
      <c r="F116" s="818"/>
      <c r="G116" s="534"/>
      <c r="H116" s="534"/>
      <c r="I116" s="534"/>
      <c r="J116" s="3784"/>
      <c r="K116" s="3751"/>
      <c r="L116" s="3751"/>
      <c r="M116" s="3861"/>
      <c r="N116" s="3752"/>
      <c r="O116" s="3752"/>
      <c r="P116" s="3750"/>
      <c r="Q116" s="3889"/>
      <c r="R116" s="3838"/>
      <c r="S116" s="3750"/>
      <c r="T116" s="3751"/>
      <c r="U116" s="3751"/>
      <c r="V116" s="3887"/>
      <c r="W116" s="3923"/>
      <c r="X116" s="3795"/>
      <c r="Y116" s="3827"/>
      <c r="Z116" s="3827"/>
      <c r="AA116" s="3827"/>
      <c r="AB116" s="3827"/>
      <c r="AC116" s="3827"/>
      <c r="AD116" s="3827"/>
      <c r="AE116" s="3827"/>
      <c r="AF116" s="3827"/>
      <c r="AG116" s="3827"/>
      <c r="AH116" s="3827"/>
      <c r="AI116" s="3827"/>
      <c r="AJ116" s="3827"/>
      <c r="AK116" s="3827"/>
      <c r="AL116" s="3827"/>
      <c r="AM116" s="3827"/>
      <c r="AN116" s="3927"/>
      <c r="AO116" s="3827"/>
      <c r="AP116" s="3848"/>
      <c r="AQ116" s="3876"/>
      <c r="AR116" s="3836"/>
    </row>
    <row r="117" spans="1:44" s="569" customFormat="1" ht="88.5" customHeight="1" x14ac:dyDescent="0.25">
      <c r="A117" s="820"/>
      <c r="B117" s="821"/>
      <c r="C117" s="821"/>
      <c r="D117" s="816"/>
      <c r="E117" s="817"/>
      <c r="F117" s="818"/>
      <c r="G117" s="534"/>
      <c r="H117" s="534"/>
      <c r="I117" s="534"/>
      <c r="J117" s="713">
        <v>113</v>
      </c>
      <c r="K117" s="315" t="s">
        <v>723</v>
      </c>
      <c r="L117" s="315" t="s">
        <v>724</v>
      </c>
      <c r="M117" s="785">
        <v>1</v>
      </c>
      <c r="N117" s="3752"/>
      <c r="O117" s="3752"/>
      <c r="P117" s="3750"/>
      <c r="Q117" s="715">
        <f>+V117/R115</f>
        <v>0.85624062329465445</v>
      </c>
      <c r="R117" s="3838"/>
      <c r="S117" s="3750"/>
      <c r="T117" s="315" t="s">
        <v>725</v>
      </c>
      <c r="U117" s="315" t="s">
        <v>726</v>
      </c>
      <c r="V117" s="786">
        <v>17868204</v>
      </c>
      <c r="W117" s="648">
        <v>20</v>
      </c>
      <c r="X117" s="640" t="s">
        <v>62</v>
      </c>
      <c r="Y117" s="3827"/>
      <c r="Z117" s="3827"/>
      <c r="AA117" s="3827"/>
      <c r="AB117" s="3827"/>
      <c r="AC117" s="3827"/>
      <c r="AD117" s="3827"/>
      <c r="AE117" s="3827"/>
      <c r="AF117" s="3827"/>
      <c r="AG117" s="3827"/>
      <c r="AH117" s="3827"/>
      <c r="AI117" s="3827"/>
      <c r="AJ117" s="3827"/>
      <c r="AK117" s="3827"/>
      <c r="AL117" s="3827"/>
      <c r="AM117" s="3827"/>
      <c r="AN117" s="3827"/>
      <c r="AO117" s="3861"/>
      <c r="AP117" s="3849"/>
      <c r="AQ117" s="3877"/>
      <c r="AR117" s="3836"/>
    </row>
    <row r="118" spans="1:44" s="569" customFormat="1" ht="15.75" x14ac:dyDescent="0.25">
      <c r="A118" s="3943"/>
      <c r="B118" s="3943"/>
      <c r="C118" s="3943"/>
      <c r="D118" s="670">
        <v>16</v>
      </c>
      <c r="E118" s="671" t="s">
        <v>727</v>
      </c>
      <c r="F118" s="671"/>
      <c r="G118" s="574"/>
      <c r="H118" s="574"/>
      <c r="I118" s="574"/>
      <c r="J118" s="574"/>
      <c r="K118" s="575"/>
      <c r="L118" s="575"/>
      <c r="M118" s="673"/>
      <c r="N118" s="576"/>
      <c r="O118" s="576"/>
      <c r="P118" s="843"/>
      <c r="Q118" s="674"/>
      <c r="R118" s="675"/>
      <c r="S118" s="575"/>
      <c r="T118" s="575"/>
      <c r="U118" s="575"/>
      <c r="V118" s="844"/>
      <c r="W118" s="845"/>
      <c r="X118" s="575"/>
      <c r="Y118" s="576"/>
      <c r="Z118" s="576"/>
      <c r="AA118" s="673"/>
      <c r="AB118" s="673"/>
      <c r="AC118" s="673"/>
      <c r="AD118" s="673"/>
      <c r="AE118" s="673"/>
      <c r="AF118" s="673"/>
      <c r="AG118" s="673"/>
      <c r="AH118" s="678"/>
      <c r="AI118" s="678"/>
      <c r="AJ118" s="580"/>
      <c r="AK118" s="580"/>
      <c r="AL118" s="580"/>
      <c r="AM118" s="580"/>
      <c r="AN118" s="580"/>
      <c r="AO118" s="580"/>
      <c r="AP118" s="580"/>
      <c r="AQ118" s="580"/>
      <c r="AR118" s="679"/>
    </row>
    <row r="119" spans="1:44" s="569" customFormat="1" ht="15.75" x14ac:dyDescent="0.25">
      <c r="A119" s="3943"/>
      <c r="B119" s="3943"/>
      <c r="C119" s="3943"/>
      <c r="D119" s="3944"/>
      <c r="E119" s="3944"/>
      <c r="F119" s="3944"/>
      <c r="G119" s="685">
        <v>57</v>
      </c>
      <c r="H119" s="621" t="s">
        <v>728</v>
      </c>
      <c r="I119" s="621"/>
      <c r="J119" s="621"/>
      <c r="K119" s="745"/>
      <c r="L119" s="745"/>
      <c r="M119" s="846"/>
      <c r="N119" s="847"/>
      <c r="O119" s="686"/>
      <c r="P119" s="745"/>
      <c r="Q119" s="839"/>
      <c r="R119" s="623"/>
      <c r="S119" s="589"/>
      <c r="T119" s="589"/>
      <c r="U119" s="589"/>
      <c r="V119" s="687"/>
      <c r="W119" s="788"/>
      <c r="X119" s="589"/>
      <c r="Y119" s="686"/>
      <c r="Z119" s="686"/>
      <c r="AA119" s="621"/>
      <c r="AB119" s="621"/>
      <c r="AC119" s="621"/>
      <c r="AD119" s="621"/>
      <c r="AE119" s="621"/>
      <c r="AF119" s="621"/>
      <c r="AG119" s="621"/>
      <c r="AH119" s="841"/>
      <c r="AI119" s="841"/>
      <c r="AJ119" s="597"/>
      <c r="AK119" s="597"/>
      <c r="AL119" s="597"/>
      <c r="AM119" s="597"/>
      <c r="AN119" s="597"/>
      <c r="AO119" s="597"/>
      <c r="AP119" s="597"/>
      <c r="AQ119" s="597"/>
      <c r="AR119" s="625"/>
    </row>
    <row r="120" spans="1:44" s="569" customFormat="1" ht="87" customHeight="1" x14ac:dyDescent="0.25">
      <c r="A120" s="3943"/>
      <c r="B120" s="3943"/>
      <c r="C120" s="3943"/>
      <c r="D120" s="3944"/>
      <c r="E120" s="3944"/>
      <c r="F120" s="3944"/>
      <c r="G120" s="3945"/>
      <c r="H120" s="3945"/>
      <c r="I120" s="3946"/>
      <c r="J120" s="3783">
        <v>182</v>
      </c>
      <c r="K120" s="3826" t="s">
        <v>729</v>
      </c>
      <c r="L120" s="3754" t="s">
        <v>730</v>
      </c>
      <c r="M120" s="3826">
        <v>1</v>
      </c>
      <c r="N120" s="3754" t="s">
        <v>731</v>
      </c>
      <c r="O120" s="3754" t="s">
        <v>732</v>
      </c>
      <c r="P120" s="3754" t="s">
        <v>733</v>
      </c>
      <c r="Q120" s="3909">
        <f>(+V120+V121)/R120</f>
        <v>1</v>
      </c>
      <c r="R120" s="3941">
        <f>V120+V121</f>
        <v>18817998</v>
      </c>
      <c r="S120" s="3756" t="s">
        <v>734</v>
      </c>
      <c r="T120" s="3756" t="s">
        <v>729</v>
      </c>
      <c r="U120" s="848" t="s">
        <v>735</v>
      </c>
      <c r="V120" s="849">
        <f>18817998-11342000</f>
        <v>7475998</v>
      </c>
      <c r="W120" s="646">
        <v>20</v>
      </c>
      <c r="X120" s="708" t="s">
        <v>62</v>
      </c>
      <c r="Y120" s="3826">
        <v>21554</v>
      </c>
      <c r="Z120" s="3826">
        <v>22392</v>
      </c>
      <c r="AA120" s="3829">
        <v>31677</v>
      </c>
      <c r="AB120" s="3829">
        <v>10302</v>
      </c>
      <c r="AC120" s="3829">
        <v>15916</v>
      </c>
      <c r="AD120" s="3829">
        <v>15683</v>
      </c>
      <c r="AE120" s="3829">
        <v>238</v>
      </c>
      <c r="AF120" s="3829">
        <v>245</v>
      </c>
      <c r="AG120" s="3829">
        <v>0</v>
      </c>
      <c r="AH120" s="3829">
        <v>0</v>
      </c>
      <c r="AI120" s="3829">
        <v>0</v>
      </c>
      <c r="AJ120" s="3841">
        <v>0</v>
      </c>
      <c r="AK120" s="3841">
        <v>2629</v>
      </c>
      <c r="AL120" s="3841">
        <v>2665</v>
      </c>
      <c r="AM120" s="3841">
        <v>2683</v>
      </c>
      <c r="AN120" s="3844">
        <v>43946</v>
      </c>
      <c r="AO120" s="3844"/>
      <c r="AP120" s="3875"/>
      <c r="AQ120" s="3875"/>
      <c r="AR120" s="3835" t="s">
        <v>444</v>
      </c>
    </row>
    <row r="121" spans="1:44" s="569" customFormat="1" ht="73.5" customHeight="1" x14ac:dyDescent="0.25">
      <c r="A121" s="3943"/>
      <c r="B121" s="3943"/>
      <c r="C121" s="3943"/>
      <c r="D121" s="3944"/>
      <c r="E121" s="3944"/>
      <c r="F121" s="3944"/>
      <c r="G121" s="3947"/>
      <c r="H121" s="3947"/>
      <c r="I121" s="3948"/>
      <c r="J121" s="3784"/>
      <c r="K121" s="3861"/>
      <c r="L121" s="3753"/>
      <c r="M121" s="3861"/>
      <c r="N121" s="3753"/>
      <c r="O121" s="3753"/>
      <c r="P121" s="3753"/>
      <c r="Q121" s="3889"/>
      <c r="R121" s="3942"/>
      <c r="S121" s="3758"/>
      <c r="T121" s="3758"/>
      <c r="U121" s="848" t="s">
        <v>736</v>
      </c>
      <c r="V121" s="849">
        <f>0+11342000</f>
        <v>11342000</v>
      </c>
      <c r="W121" s="646">
        <v>20</v>
      </c>
      <c r="X121" s="708" t="s">
        <v>62</v>
      </c>
      <c r="Y121" s="3861"/>
      <c r="Z121" s="3861"/>
      <c r="AA121" s="3831"/>
      <c r="AB121" s="3831"/>
      <c r="AC121" s="3831"/>
      <c r="AD121" s="3831"/>
      <c r="AE121" s="3831"/>
      <c r="AF121" s="3831"/>
      <c r="AG121" s="3831"/>
      <c r="AH121" s="3831"/>
      <c r="AI121" s="3831"/>
      <c r="AJ121" s="3843"/>
      <c r="AK121" s="3843"/>
      <c r="AL121" s="3843"/>
      <c r="AM121" s="3843"/>
      <c r="AN121" s="3846"/>
      <c r="AO121" s="3846"/>
      <c r="AP121" s="3877"/>
      <c r="AQ121" s="3877"/>
      <c r="AR121" s="3837"/>
    </row>
    <row r="122" spans="1:44" s="860" customFormat="1" ht="31.5" customHeight="1" x14ac:dyDescent="0.25">
      <c r="A122" s="3949"/>
      <c r="B122" s="3950"/>
      <c r="C122" s="3950"/>
      <c r="D122" s="3950"/>
      <c r="E122" s="3950"/>
      <c r="F122" s="3950"/>
      <c r="G122" s="3950"/>
      <c r="H122" s="3950"/>
      <c r="I122" s="3951"/>
      <c r="J122" s="555"/>
      <c r="K122" s="850"/>
      <c r="L122" s="850"/>
      <c r="M122" s="851"/>
      <c r="N122" s="851"/>
      <c r="O122" s="852"/>
      <c r="P122" s="850"/>
      <c r="Q122" s="853"/>
      <c r="R122" s="854">
        <f>SUM(R11:R121)</f>
        <v>174356562050.38995</v>
      </c>
      <c r="S122" s="850"/>
      <c r="T122" s="850"/>
      <c r="U122" s="850"/>
      <c r="V122" s="855">
        <f>SUM(V11:V121)</f>
        <v>174356562050.38998</v>
      </c>
      <c r="W122" s="856"/>
      <c r="X122" s="857"/>
      <c r="Y122" s="856"/>
      <c r="Z122" s="856"/>
      <c r="AA122" s="856"/>
      <c r="AB122" s="856"/>
      <c r="AC122" s="856"/>
      <c r="AD122" s="856"/>
      <c r="AE122" s="856"/>
      <c r="AF122" s="856"/>
      <c r="AG122" s="856"/>
      <c r="AH122" s="856"/>
      <c r="AI122" s="856"/>
      <c r="AJ122" s="856"/>
      <c r="AK122" s="856"/>
      <c r="AL122" s="856"/>
      <c r="AM122" s="856"/>
      <c r="AN122" s="856"/>
      <c r="AO122" s="856"/>
      <c r="AP122" s="858"/>
      <c r="AQ122" s="858"/>
      <c r="AR122" s="859"/>
    </row>
    <row r="123" spans="1:44" s="569" customFormat="1" ht="15.75" x14ac:dyDescent="0.25">
      <c r="A123" s="861"/>
      <c r="B123" s="386"/>
      <c r="C123" s="386"/>
      <c r="D123" s="386"/>
      <c r="E123" s="386"/>
      <c r="F123" s="386"/>
      <c r="G123" s="386"/>
      <c r="H123" s="386"/>
      <c r="I123" s="386"/>
      <c r="J123" s="386"/>
      <c r="K123" s="862"/>
      <c r="L123" s="863"/>
      <c r="M123" s="386"/>
      <c r="N123" s="864"/>
      <c r="O123" s="864"/>
      <c r="P123" s="862"/>
      <c r="Q123" s="865"/>
      <c r="R123" s="866"/>
      <c r="S123" s="862"/>
      <c r="T123" s="862"/>
      <c r="U123" s="862"/>
      <c r="V123" s="867"/>
      <c r="W123" s="864"/>
      <c r="X123" s="863"/>
      <c r="Y123" s="386"/>
      <c r="Z123" s="386"/>
      <c r="AA123" s="386"/>
      <c r="AB123" s="386"/>
      <c r="AC123" s="386"/>
      <c r="AD123" s="386"/>
      <c r="AE123" s="386"/>
      <c r="AF123" s="386"/>
      <c r="AG123" s="386"/>
      <c r="AR123" s="868"/>
    </row>
    <row r="124" spans="1:44" s="569" customFormat="1" ht="15.75" x14ac:dyDescent="0.25">
      <c r="A124" s="861"/>
      <c r="B124" s="386"/>
      <c r="C124" s="386"/>
      <c r="D124" s="386"/>
      <c r="E124" s="386"/>
      <c r="F124" s="386"/>
      <c r="G124" s="386"/>
      <c r="H124" s="386"/>
      <c r="I124" s="386"/>
      <c r="J124" s="386"/>
      <c r="K124" s="862"/>
      <c r="L124" s="863"/>
      <c r="M124" s="386"/>
      <c r="N124" s="864"/>
      <c r="O124" s="864"/>
      <c r="P124" s="862"/>
      <c r="Q124" s="865"/>
      <c r="R124" s="869"/>
      <c r="S124" s="862"/>
      <c r="T124" s="862"/>
      <c r="U124" s="862"/>
      <c r="V124" s="869"/>
      <c r="W124" s="864"/>
      <c r="X124" s="863"/>
      <c r="Y124" s="386"/>
      <c r="Z124" s="386"/>
      <c r="AA124" s="386"/>
      <c r="AB124" s="386"/>
      <c r="AC124" s="386"/>
      <c r="AD124" s="386"/>
      <c r="AE124" s="386"/>
      <c r="AF124" s="386"/>
      <c r="AG124" s="386"/>
      <c r="AR124" s="868"/>
    </row>
    <row r="125" spans="1:44" s="569" customFormat="1" ht="15.75" x14ac:dyDescent="0.25">
      <c r="A125" s="861"/>
      <c r="B125" s="386"/>
      <c r="C125" s="386"/>
      <c r="D125" s="386"/>
      <c r="E125" s="386"/>
      <c r="F125" s="386"/>
      <c r="G125" s="386"/>
      <c r="H125" s="386"/>
      <c r="I125" s="386"/>
      <c r="J125" s="386"/>
      <c r="K125" s="862"/>
      <c r="L125" s="863"/>
      <c r="M125" s="386"/>
      <c r="N125" s="864"/>
      <c r="O125" s="864"/>
      <c r="P125" s="862"/>
      <c r="Q125" s="865"/>
      <c r="R125" s="867"/>
      <c r="S125" s="862"/>
      <c r="T125" s="862"/>
      <c r="U125" s="862"/>
      <c r="V125" s="870"/>
      <c r="W125" s="864"/>
      <c r="X125" s="863"/>
      <c r="Y125" s="386"/>
      <c r="Z125" s="386"/>
      <c r="AA125" s="386"/>
      <c r="AB125" s="386"/>
      <c r="AC125" s="386"/>
      <c r="AD125" s="386"/>
      <c r="AE125" s="386"/>
      <c r="AF125" s="386"/>
      <c r="AG125" s="386"/>
      <c r="AR125" s="868"/>
    </row>
    <row r="126" spans="1:44" s="569" customFormat="1" ht="15.75" x14ac:dyDescent="0.25">
      <c r="A126" s="861"/>
      <c r="B126" s="386"/>
      <c r="C126" s="386"/>
      <c r="D126" s="386"/>
      <c r="E126" s="386"/>
      <c r="F126" s="386"/>
      <c r="G126" s="386"/>
      <c r="H126" s="386"/>
      <c r="I126" s="386"/>
      <c r="J126" s="386"/>
      <c r="K126" s="862"/>
      <c r="L126" s="863"/>
      <c r="M126" s="386"/>
      <c r="N126" s="864"/>
      <c r="O126" s="864"/>
      <c r="P126" s="862"/>
      <c r="Q126" s="865"/>
      <c r="R126" s="867"/>
      <c r="S126" s="862"/>
      <c r="T126" s="862"/>
      <c r="U126" s="862"/>
      <c r="V126" s="871"/>
      <c r="W126" s="864"/>
      <c r="X126" s="863"/>
      <c r="Y126" s="386"/>
      <c r="Z126" s="386"/>
      <c r="AA126" s="386"/>
      <c r="AB126" s="386"/>
      <c r="AC126" s="386"/>
      <c r="AD126" s="386"/>
      <c r="AE126" s="386"/>
      <c r="AF126" s="386"/>
      <c r="AG126" s="386"/>
      <c r="AR126" s="868"/>
    </row>
    <row r="127" spans="1:44" s="569" customFormat="1" ht="15.75" x14ac:dyDescent="0.25">
      <c r="A127" s="861"/>
      <c r="B127" s="386"/>
      <c r="C127" s="386"/>
      <c r="D127" s="386"/>
      <c r="E127" s="386"/>
      <c r="F127" s="386"/>
      <c r="G127" s="386"/>
      <c r="H127" s="386"/>
      <c r="I127" s="386"/>
      <c r="J127" s="386"/>
      <c r="K127" s="862"/>
      <c r="L127" s="863"/>
      <c r="M127" s="386"/>
      <c r="N127" s="864"/>
      <c r="O127" s="864"/>
      <c r="P127" s="862"/>
      <c r="Q127" s="865"/>
      <c r="R127" s="867"/>
      <c r="S127" s="862"/>
      <c r="T127" s="862"/>
      <c r="U127" s="862"/>
      <c r="V127" s="862"/>
      <c r="W127" s="864"/>
      <c r="X127" s="863"/>
      <c r="Y127" s="386"/>
      <c r="Z127" s="386"/>
      <c r="AA127" s="386"/>
      <c r="AB127" s="386"/>
      <c r="AC127" s="386"/>
      <c r="AD127" s="386"/>
      <c r="AE127" s="386"/>
      <c r="AF127" s="386"/>
      <c r="AG127" s="386"/>
      <c r="AR127" s="868"/>
    </row>
    <row r="128" spans="1:44" s="569" customFormat="1" ht="15.75" x14ac:dyDescent="0.25">
      <c r="A128" s="386"/>
      <c r="B128" s="386"/>
      <c r="C128" s="386"/>
      <c r="D128" s="386"/>
      <c r="E128" s="386"/>
      <c r="F128" s="386"/>
      <c r="G128" s="864"/>
      <c r="H128" s="863"/>
      <c r="I128" s="386"/>
      <c r="J128" s="386"/>
      <c r="K128" s="863"/>
      <c r="L128" s="863"/>
      <c r="M128" s="386"/>
      <c r="N128" s="3952" t="s">
        <v>737</v>
      </c>
      <c r="O128" s="3952"/>
      <c r="P128" s="3952"/>
      <c r="Q128" s="386"/>
      <c r="R128" s="863"/>
      <c r="S128" s="863"/>
      <c r="T128" s="872"/>
      <c r="U128" s="872"/>
      <c r="V128" s="872"/>
      <c r="W128" s="864"/>
      <c r="X128" s="863"/>
      <c r="Y128" s="386"/>
      <c r="Z128" s="386"/>
      <c r="AA128" s="386"/>
      <c r="AB128" s="386"/>
      <c r="AC128" s="386"/>
      <c r="AD128" s="386"/>
      <c r="AE128" s="386"/>
      <c r="AF128" s="386"/>
      <c r="AG128" s="386"/>
      <c r="AR128" s="868"/>
    </row>
    <row r="129" spans="1:44" s="569" customFormat="1" ht="15.75" x14ac:dyDescent="0.25">
      <c r="A129" s="386"/>
      <c r="B129" s="386"/>
      <c r="C129" s="386"/>
      <c r="D129" s="386"/>
      <c r="E129" s="386"/>
      <c r="F129" s="386"/>
      <c r="G129" s="864"/>
      <c r="H129" s="863"/>
      <c r="I129" s="386"/>
      <c r="J129" s="386"/>
      <c r="K129" s="863"/>
      <c r="L129" s="863"/>
      <c r="M129" s="386"/>
      <c r="N129" s="542" t="s">
        <v>738</v>
      </c>
      <c r="O129" s="386"/>
      <c r="P129" s="873"/>
      <c r="Q129" s="386"/>
      <c r="R129" s="863"/>
      <c r="S129" s="863"/>
      <c r="T129" s="872"/>
      <c r="U129" s="872"/>
      <c r="V129" s="872"/>
      <c r="W129" s="864"/>
      <c r="X129" s="863"/>
      <c r="Y129" s="386"/>
      <c r="Z129" s="386"/>
      <c r="AA129" s="386"/>
      <c r="AB129" s="386"/>
      <c r="AC129" s="386"/>
      <c r="AD129" s="386"/>
      <c r="AE129" s="386"/>
      <c r="AF129" s="386"/>
      <c r="AG129" s="386"/>
      <c r="AR129" s="868"/>
    </row>
    <row r="130" spans="1:44" s="569" customFormat="1" ht="15.75" x14ac:dyDescent="0.25">
      <c r="A130" s="386"/>
      <c r="B130" s="386"/>
      <c r="C130" s="386"/>
      <c r="D130" s="386"/>
      <c r="E130" s="386"/>
      <c r="F130" s="386"/>
      <c r="G130" s="864"/>
      <c r="H130" s="863"/>
      <c r="I130" s="386"/>
      <c r="J130" s="386"/>
      <c r="K130" s="863"/>
      <c r="L130" s="863"/>
      <c r="M130" s="386"/>
      <c r="N130" s="874"/>
      <c r="O130" s="386"/>
      <c r="P130" s="873"/>
      <c r="Q130" s="386"/>
      <c r="R130" s="863"/>
      <c r="S130" s="863"/>
      <c r="T130" s="872"/>
      <c r="U130" s="872"/>
      <c r="V130" s="872"/>
      <c r="W130" s="864"/>
      <c r="X130" s="863"/>
      <c r="Y130" s="386"/>
      <c r="Z130" s="386"/>
      <c r="AA130" s="386"/>
      <c r="AB130" s="386"/>
      <c r="AC130" s="386"/>
      <c r="AD130" s="386"/>
      <c r="AE130" s="386"/>
      <c r="AF130" s="386"/>
      <c r="AG130" s="386"/>
      <c r="AR130" s="868"/>
    </row>
  </sheetData>
  <sheetProtection password="F3F4" sheet="1" objects="1" scenarios="1"/>
  <mergeCells count="569">
    <mergeCell ref="AO120:AO121"/>
    <mergeCell ref="AP120:AP121"/>
    <mergeCell ref="AQ120:AQ121"/>
    <mergeCell ref="AR120:AR121"/>
    <mergeCell ref="A122:I122"/>
    <mergeCell ref="N128:P128"/>
    <mergeCell ref="AI120:AI121"/>
    <mergeCell ref="AJ120:AJ121"/>
    <mergeCell ref="AK120:AK121"/>
    <mergeCell ref="AL120:AL121"/>
    <mergeCell ref="AM120:AM121"/>
    <mergeCell ref="AN120:AN121"/>
    <mergeCell ref="AC120:AC121"/>
    <mergeCell ref="AD120:AD121"/>
    <mergeCell ref="AE120:AE121"/>
    <mergeCell ref="AF120:AF121"/>
    <mergeCell ref="AG120:AG121"/>
    <mergeCell ref="AH120:AH121"/>
    <mergeCell ref="S120:S121"/>
    <mergeCell ref="T120:T121"/>
    <mergeCell ref="Y120:Y121"/>
    <mergeCell ref="Z120:Z121"/>
    <mergeCell ref="AA120:AA121"/>
    <mergeCell ref="AB120:AB121"/>
    <mergeCell ref="M120:M121"/>
    <mergeCell ref="N120:N121"/>
    <mergeCell ref="O120:O121"/>
    <mergeCell ref="P120:P121"/>
    <mergeCell ref="Q120:Q121"/>
    <mergeCell ref="R120:R121"/>
    <mergeCell ref="A118:C121"/>
    <mergeCell ref="D119:F121"/>
    <mergeCell ref="G120:I121"/>
    <mergeCell ref="J120:J121"/>
    <mergeCell ref="K120:K121"/>
    <mergeCell ref="L120:L121"/>
    <mergeCell ref="AO115:AO117"/>
    <mergeCell ref="AP115:AP117"/>
    <mergeCell ref="AQ115:AQ117"/>
    <mergeCell ref="AR115:AR117"/>
    <mergeCell ref="AG115:AG117"/>
    <mergeCell ref="AH115:AH117"/>
    <mergeCell ref="AI115:AI117"/>
    <mergeCell ref="AJ115:AJ117"/>
    <mergeCell ref="AK115:AK117"/>
    <mergeCell ref="AL115:AL117"/>
    <mergeCell ref="O115:O117"/>
    <mergeCell ref="P115:P117"/>
    <mergeCell ref="Q115:Q116"/>
    <mergeCell ref="R115:R117"/>
    <mergeCell ref="S115:S117"/>
    <mergeCell ref="T115:T116"/>
    <mergeCell ref="AM109:AM111"/>
    <mergeCell ref="AN109:AN111"/>
    <mergeCell ref="AP109:AP111"/>
    <mergeCell ref="Z109:Z111"/>
    <mergeCell ref="AA115:AA117"/>
    <mergeCell ref="AB115:AB117"/>
    <mergeCell ref="AC115:AC117"/>
    <mergeCell ref="AD115:AD117"/>
    <mergeCell ref="AE115:AE117"/>
    <mergeCell ref="AF115:AF117"/>
    <mergeCell ref="U115:U116"/>
    <mergeCell ref="V115:V116"/>
    <mergeCell ref="W115:W116"/>
    <mergeCell ref="X115:X116"/>
    <mergeCell ref="Y115:Y117"/>
    <mergeCell ref="Z115:Z117"/>
    <mergeCell ref="AM115:AM117"/>
    <mergeCell ref="AN115:AN117"/>
    <mergeCell ref="AQ109:AQ111"/>
    <mergeCell ref="AR109:AR111"/>
    <mergeCell ref="J115:J116"/>
    <mergeCell ref="K115:K116"/>
    <mergeCell ref="L115:L116"/>
    <mergeCell ref="M115:M116"/>
    <mergeCell ref="N115:N117"/>
    <mergeCell ref="AG109:AG111"/>
    <mergeCell ref="AH109:AH111"/>
    <mergeCell ref="AI109:AI111"/>
    <mergeCell ref="AJ109:AJ111"/>
    <mergeCell ref="AK109:AK111"/>
    <mergeCell ref="AL109:AL111"/>
    <mergeCell ref="AA109:AA111"/>
    <mergeCell ref="AB109:AB111"/>
    <mergeCell ref="AC109:AC111"/>
    <mergeCell ref="AD109:AD111"/>
    <mergeCell ref="AE109:AE111"/>
    <mergeCell ref="AF109:AF111"/>
    <mergeCell ref="R109:R111"/>
    <mergeCell ref="S109:S111"/>
    <mergeCell ref="T109:T111"/>
    <mergeCell ref="U109:U111"/>
    <mergeCell ref="Y109:Y111"/>
    <mergeCell ref="AR105:AR107"/>
    <mergeCell ref="G109:I111"/>
    <mergeCell ref="J109:J111"/>
    <mergeCell ref="K109:K111"/>
    <mergeCell ref="L109:L111"/>
    <mergeCell ref="M109:M111"/>
    <mergeCell ref="N109:N111"/>
    <mergeCell ref="O109:O111"/>
    <mergeCell ref="P109:P111"/>
    <mergeCell ref="Q109:Q111"/>
    <mergeCell ref="AK105:AK107"/>
    <mergeCell ref="AL105:AL107"/>
    <mergeCell ref="AM105:AM107"/>
    <mergeCell ref="AN105:AN107"/>
    <mergeCell ref="AP105:AP107"/>
    <mergeCell ref="AQ105:AQ107"/>
    <mergeCell ref="AE105:AE107"/>
    <mergeCell ref="AF105:AF107"/>
    <mergeCell ref="AG105:AG107"/>
    <mergeCell ref="AH105:AH107"/>
    <mergeCell ref="AI105:AI107"/>
    <mergeCell ref="AJ105:AJ107"/>
    <mergeCell ref="Y105:Y107"/>
    <mergeCell ref="Z105:Z107"/>
    <mergeCell ref="AA105:AA107"/>
    <mergeCell ref="AB105:AB107"/>
    <mergeCell ref="AC105:AC107"/>
    <mergeCell ref="AD105:AD107"/>
    <mergeCell ref="S105:S107"/>
    <mergeCell ref="T105:T106"/>
    <mergeCell ref="U105:U106"/>
    <mergeCell ref="V105:V106"/>
    <mergeCell ref="W105:W106"/>
    <mergeCell ref="X105:X106"/>
    <mergeCell ref="AR99:AR102"/>
    <mergeCell ref="J105:J106"/>
    <mergeCell ref="K105:K106"/>
    <mergeCell ref="L105:L106"/>
    <mergeCell ref="M105:M106"/>
    <mergeCell ref="N105:N107"/>
    <mergeCell ref="O105:O107"/>
    <mergeCell ref="P105:P107"/>
    <mergeCell ref="Q105:Q106"/>
    <mergeCell ref="R105:R107"/>
    <mergeCell ref="AL99:AL102"/>
    <mergeCell ref="AM99:AM102"/>
    <mergeCell ref="AN99:AN102"/>
    <mergeCell ref="AO99:AO102"/>
    <mergeCell ref="AP99:AP102"/>
    <mergeCell ref="AQ99:AQ102"/>
    <mergeCell ref="AF99:AF102"/>
    <mergeCell ref="AG99:AG102"/>
    <mergeCell ref="AH99:AH102"/>
    <mergeCell ref="AI99:AI102"/>
    <mergeCell ref="AJ99:AJ102"/>
    <mergeCell ref="AK99:AK102"/>
    <mergeCell ref="Z99:Z102"/>
    <mergeCell ref="AA99:AA102"/>
    <mergeCell ref="AB99:AB102"/>
    <mergeCell ref="AC99:AC102"/>
    <mergeCell ref="AD99:AD102"/>
    <mergeCell ref="AE99:AE102"/>
    <mergeCell ref="Q99:Q102"/>
    <mergeCell ref="R99:R102"/>
    <mergeCell ref="S99:S102"/>
    <mergeCell ref="T99:T102"/>
    <mergeCell ref="U99:U100"/>
    <mergeCell ref="Y99:Y102"/>
    <mergeCell ref="J99:J102"/>
    <mergeCell ref="K99:K102"/>
    <mergeCell ref="L99:L102"/>
    <mergeCell ref="M99:M102"/>
    <mergeCell ref="O99:O102"/>
    <mergeCell ref="P99:P102"/>
    <mergeCell ref="M95:M96"/>
    <mergeCell ref="Q95:Q96"/>
    <mergeCell ref="U95:U96"/>
    <mergeCell ref="J97:J98"/>
    <mergeCell ref="K97:K98"/>
    <mergeCell ref="L97:L98"/>
    <mergeCell ref="M97:M98"/>
    <mergeCell ref="Q97:Q98"/>
    <mergeCell ref="U97:U98"/>
    <mergeCell ref="AR92:AR98"/>
    <mergeCell ref="J93:J94"/>
    <mergeCell ref="K93:K94"/>
    <mergeCell ref="L93:L94"/>
    <mergeCell ref="M93:M94"/>
    <mergeCell ref="Q93:Q94"/>
    <mergeCell ref="U93:U94"/>
    <mergeCell ref="J95:J96"/>
    <mergeCell ref="K95:K96"/>
    <mergeCell ref="L95:L96"/>
    <mergeCell ref="AL92:AL98"/>
    <mergeCell ref="AM92:AM98"/>
    <mergeCell ref="AN92:AN98"/>
    <mergeCell ref="AO92:AO98"/>
    <mergeCell ref="AP92:AP98"/>
    <mergeCell ref="AQ92:AQ98"/>
    <mergeCell ref="AF92:AF98"/>
    <mergeCell ref="AG92:AG98"/>
    <mergeCell ref="AH92:AH98"/>
    <mergeCell ref="AI92:AI98"/>
    <mergeCell ref="AJ92:AJ98"/>
    <mergeCell ref="AK92:AK98"/>
    <mergeCell ref="Z92:Z98"/>
    <mergeCell ref="AA92:AA98"/>
    <mergeCell ref="AB92:AB98"/>
    <mergeCell ref="AC92:AC98"/>
    <mergeCell ref="AD92:AD98"/>
    <mergeCell ref="AE92:AE98"/>
    <mergeCell ref="AQ86:AQ90"/>
    <mergeCell ref="AR86:AR90"/>
    <mergeCell ref="A88:C102"/>
    <mergeCell ref="D88:F102"/>
    <mergeCell ref="O92:O97"/>
    <mergeCell ref="P92:P97"/>
    <mergeCell ref="R92:R98"/>
    <mergeCell ref="S92:S97"/>
    <mergeCell ref="T92:T97"/>
    <mergeCell ref="Y92:Y98"/>
    <mergeCell ref="AK86:AK90"/>
    <mergeCell ref="AL86:AL90"/>
    <mergeCell ref="AM86:AM90"/>
    <mergeCell ref="AN86:AN90"/>
    <mergeCell ref="AO86:AO90"/>
    <mergeCell ref="AP86:AP90"/>
    <mergeCell ref="AE86:AE90"/>
    <mergeCell ref="AF86:AF90"/>
    <mergeCell ref="AG86:AG90"/>
    <mergeCell ref="AH86:AH90"/>
    <mergeCell ref="AI86:AI90"/>
    <mergeCell ref="AJ86:AJ90"/>
    <mergeCell ref="Y86:Y90"/>
    <mergeCell ref="Z86:Z90"/>
    <mergeCell ref="AA86:AA90"/>
    <mergeCell ref="AB86:AB90"/>
    <mergeCell ref="AC86:AC90"/>
    <mergeCell ref="AD86:AD90"/>
    <mergeCell ref="O86:O90"/>
    <mergeCell ref="P86:P90"/>
    <mergeCell ref="R86:R90"/>
    <mergeCell ref="S86:S90"/>
    <mergeCell ref="W86:W90"/>
    <mergeCell ref="X86:X90"/>
    <mergeCell ref="AM79:AM83"/>
    <mergeCell ref="AN79:AN83"/>
    <mergeCell ref="AO79:AO83"/>
    <mergeCell ref="AP79:AP83"/>
    <mergeCell ref="AQ79:AQ83"/>
    <mergeCell ref="AR79:AR83"/>
    <mergeCell ref="AG79:AG83"/>
    <mergeCell ref="AH79:AH83"/>
    <mergeCell ref="AI79:AI83"/>
    <mergeCell ref="AJ79:AJ83"/>
    <mergeCell ref="AK79:AK83"/>
    <mergeCell ref="AL79:AL83"/>
    <mergeCell ref="AB79:AB83"/>
    <mergeCell ref="AC79:AC83"/>
    <mergeCell ref="AD79:AD83"/>
    <mergeCell ref="AE79:AE83"/>
    <mergeCell ref="AF79:AF83"/>
    <mergeCell ref="R79:R83"/>
    <mergeCell ref="S79:S83"/>
    <mergeCell ref="T79:T83"/>
    <mergeCell ref="U79:U83"/>
    <mergeCell ref="Y79:Y83"/>
    <mergeCell ref="Z79:Z83"/>
    <mergeCell ref="V80:V83"/>
    <mergeCell ref="W80:W83"/>
    <mergeCell ref="X80:X83"/>
    <mergeCell ref="G79:I83"/>
    <mergeCell ref="J79:J83"/>
    <mergeCell ref="K79:K83"/>
    <mergeCell ref="L79:L83"/>
    <mergeCell ref="M79:M83"/>
    <mergeCell ref="O79:O83"/>
    <mergeCell ref="P79:P83"/>
    <mergeCell ref="Q79:Q83"/>
    <mergeCell ref="AA79:AA83"/>
    <mergeCell ref="AR71:AR77"/>
    <mergeCell ref="J73:J74"/>
    <mergeCell ref="K73:K74"/>
    <mergeCell ref="L73:L74"/>
    <mergeCell ref="M73:M74"/>
    <mergeCell ref="Q73:Q74"/>
    <mergeCell ref="T73:T74"/>
    <mergeCell ref="U73:U74"/>
    <mergeCell ref="J75:J76"/>
    <mergeCell ref="K75:K76"/>
    <mergeCell ref="AL71:AL77"/>
    <mergeCell ref="AM71:AM77"/>
    <mergeCell ref="AN71:AN77"/>
    <mergeCell ref="AO71:AO77"/>
    <mergeCell ref="AP71:AP77"/>
    <mergeCell ref="AQ71:AQ77"/>
    <mergeCell ref="AF71:AF77"/>
    <mergeCell ref="AG71:AG77"/>
    <mergeCell ref="AH71:AH77"/>
    <mergeCell ref="AI71:AI77"/>
    <mergeCell ref="AJ71:AJ77"/>
    <mergeCell ref="AK71:AK77"/>
    <mergeCell ref="Z71:Z77"/>
    <mergeCell ref="AA71:AA77"/>
    <mergeCell ref="AB71:AB77"/>
    <mergeCell ref="AC71:AC77"/>
    <mergeCell ref="AD71:AD77"/>
    <mergeCell ref="AE71:AE77"/>
    <mergeCell ref="Q71:Q72"/>
    <mergeCell ref="R71:R77"/>
    <mergeCell ref="S71:S77"/>
    <mergeCell ref="T71:T72"/>
    <mergeCell ref="U71:U72"/>
    <mergeCell ref="Y71:Y77"/>
    <mergeCell ref="Q75:Q76"/>
    <mergeCell ref="T75:T76"/>
    <mergeCell ref="U75:U76"/>
    <mergeCell ref="V75:V76"/>
    <mergeCell ref="W75:W76"/>
    <mergeCell ref="X75:X76"/>
    <mergeCell ref="J71:J72"/>
    <mergeCell ref="K71:K72"/>
    <mergeCell ref="L71:L72"/>
    <mergeCell ref="M71:M72"/>
    <mergeCell ref="O71:O77"/>
    <mergeCell ref="P71:P77"/>
    <mergeCell ref="L75:L76"/>
    <mergeCell ref="M75:M76"/>
    <mergeCell ref="J67:J68"/>
    <mergeCell ref="K67:K68"/>
    <mergeCell ref="L67:L68"/>
    <mergeCell ref="M67:M68"/>
    <mergeCell ref="AP53:AP69"/>
    <mergeCell ref="AQ53:AQ69"/>
    <mergeCell ref="AR53:AR69"/>
    <mergeCell ref="J57:J58"/>
    <mergeCell ref="K57:K58"/>
    <mergeCell ref="L57:L58"/>
    <mergeCell ref="M57:M58"/>
    <mergeCell ref="Q57:Q58"/>
    <mergeCell ref="T57:T58"/>
    <mergeCell ref="U57:U58"/>
    <mergeCell ref="AJ53:AJ69"/>
    <mergeCell ref="AK53:AK69"/>
    <mergeCell ref="AL53:AL69"/>
    <mergeCell ref="AM53:AM69"/>
    <mergeCell ref="AN53:AN69"/>
    <mergeCell ref="AO53:AO69"/>
    <mergeCell ref="AD53:AD69"/>
    <mergeCell ref="AE53:AE69"/>
    <mergeCell ref="AF53:AF69"/>
    <mergeCell ref="AG53:AG69"/>
    <mergeCell ref="AH53:AH69"/>
    <mergeCell ref="AI53:AI69"/>
    <mergeCell ref="U53:U54"/>
    <mergeCell ref="Y53:Y69"/>
    <mergeCell ref="Z53:Z69"/>
    <mergeCell ref="AA53:AA69"/>
    <mergeCell ref="AB53:AB69"/>
    <mergeCell ref="AC53:AC69"/>
    <mergeCell ref="U67:U68"/>
    <mergeCell ref="O53:O69"/>
    <mergeCell ref="P53:P69"/>
    <mergeCell ref="Q53:Q54"/>
    <mergeCell ref="R53:R69"/>
    <mergeCell ref="S53:S69"/>
    <mergeCell ref="T53:T54"/>
    <mergeCell ref="Q59:Q60"/>
    <mergeCell ref="T59:T60"/>
    <mergeCell ref="Q67:Q68"/>
    <mergeCell ref="T67:T68"/>
    <mergeCell ref="Q65:Q66"/>
    <mergeCell ref="T65:T66"/>
    <mergeCell ref="Q61:Q63"/>
    <mergeCell ref="T61:T63"/>
    <mergeCell ref="G53:I69"/>
    <mergeCell ref="J53:J54"/>
    <mergeCell ref="K53:K54"/>
    <mergeCell ref="L53:L54"/>
    <mergeCell ref="M53:M54"/>
    <mergeCell ref="J59:J60"/>
    <mergeCell ref="K59:K60"/>
    <mergeCell ref="L59:L60"/>
    <mergeCell ref="M59:M60"/>
    <mergeCell ref="J65:J66"/>
    <mergeCell ref="K65:K66"/>
    <mergeCell ref="L65:L66"/>
    <mergeCell ref="M65:M66"/>
    <mergeCell ref="J61:J63"/>
    <mergeCell ref="K61:K63"/>
    <mergeCell ref="L61:L63"/>
    <mergeCell ref="M61:M63"/>
    <mergeCell ref="AP43:AP51"/>
    <mergeCell ref="AQ43:AQ51"/>
    <mergeCell ref="AR43:AR51"/>
    <mergeCell ref="J44:J45"/>
    <mergeCell ref="K44:K45"/>
    <mergeCell ref="L44:L45"/>
    <mergeCell ref="M44:M45"/>
    <mergeCell ref="Q44:Q45"/>
    <mergeCell ref="T44:T45"/>
    <mergeCell ref="U44:U45"/>
    <mergeCell ref="AJ43:AJ51"/>
    <mergeCell ref="AK43:AK51"/>
    <mergeCell ref="AL43:AL51"/>
    <mergeCell ref="AM43:AM51"/>
    <mergeCell ref="AN43:AN51"/>
    <mergeCell ref="AO43:AO51"/>
    <mergeCell ref="AD43:AD51"/>
    <mergeCell ref="AE43:AE51"/>
    <mergeCell ref="AF43:AF51"/>
    <mergeCell ref="AG43:AG51"/>
    <mergeCell ref="AH43:AH51"/>
    <mergeCell ref="AI43:AI51"/>
    <mergeCell ref="N45:N51"/>
    <mergeCell ref="AR33:AR40"/>
    <mergeCell ref="O43:O51"/>
    <mergeCell ref="P43:P51"/>
    <mergeCell ref="R43:R51"/>
    <mergeCell ref="S43:S51"/>
    <mergeCell ref="Y43:Y51"/>
    <mergeCell ref="Z43:Z51"/>
    <mergeCell ref="AA43:AA51"/>
    <mergeCell ref="AB43:AB51"/>
    <mergeCell ref="AC43:AC51"/>
    <mergeCell ref="AL33:AL40"/>
    <mergeCell ref="AM33:AM40"/>
    <mergeCell ref="AN33:AN40"/>
    <mergeCell ref="AO33:AO40"/>
    <mergeCell ref="AP33:AP40"/>
    <mergeCell ref="AQ33:AQ40"/>
    <mergeCell ref="AF33:AF40"/>
    <mergeCell ref="AG33:AG40"/>
    <mergeCell ref="AH33:AH40"/>
    <mergeCell ref="AI33:AI40"/>
    <mergeCell ref="AJ33:AJ40"/>
    <mergeCell ref="AK33:AK40"/>
    <mergeCell ref="Z33:Z40"/>
    <mergeCell ref="AA33:AA40"/>
    <mergeCell ref="AB33:AB40"/>
    <mergeCell ref="AC33:AC40"/>
    <mergeCell ref="AD33:AD40"/>
    <mergeCell ref="AE33:AE40"/>
    <mergeCell ref="Q33:Q40"/>
    <mergeCell ref="R33:R40"/>
    <mergeCell ref="S33:S40"/>
    <mergeCell ref="T33:T40"/>
    <mergeCell ref="U33:U40"/>
    <mergeCell ref="Y33:Y40"/>
    <mergeCell ref="J33:J40"/>
    <mergeCell ref="K33:K40"/>
    <mergeCell ref="L33:L40"/>
    <mergeCell ref="M33:M40"/>
    <mergeCell ref="O33:O40"/>
    <mergeCell ref="P33:P40"/>
    <mergeCell ref="AQ25:AQ32"/>
    <mergeCell ref="AR25:AR32"/>
    <mergeCell ref="A27:C40"/>
    <mergeCell ref="D27:F40"/>
    <mergeCell ref="G27:I40"/>
    <mergeCell ref="J28:J29"/>
    <mergeCell ref="K28:K29"/>
    <mergeCell ref="L28:L29"/>
    <mergeCell ref="M28:M29"/>
    <mergeCell ref="Q28:Q29"/>
    <mergeCell ref="AK25:AK32"/>
    <mergeCell ref="AL25:AL32"/>
    <mergeCell ref="AM25:AM32"/>
    <mergeCell ref="AN25:AN32"/>
    <mergeCell ref="AO25:AO32"/>
    <mergeCell ref="AP25:AP32"/>
    <mergeCell ref="AE25:AE32"/>
    <mergeCell ref="AF25:AF32"/>
    <mergeCell ref="AG25:AG32"/>
    <mergeCell ref="AH25:AH32"/>
    <mergeCell ref="AI25:AI32"/>
    <mergeCell ref="AJ25:AJ32"/>
    <mergeCell ref="Y25:Y32"/>
    <mergeCell ref="Z25:Z32"/>
    <mergeCell ref="AA25:AA32"/>
    <mergeCell ref="AB25:AB32"/>
    <mergeCell ref="AC25:AC32"/>
    <mergeCell ref="AD25:AD32"/>
    <mergeCell ref="P25:P32"/>
    <mergeCell ref="Q25:Q26"/>
    <mergeCell ref="R25:R32"/>
    <mergeCell ref="S25:S32"/>
    <mergeCell ref="T25:T32"/>
    <mergeCell ref="U25:U26"/>
    <mergeCell ref="J25:J26"/>
    <mergeCell ref="K25:K26"/>
    <mergeCell ref="L25:L26"/>
    <mergeCell ref="M25:M26"/>
    <mergeCell ref="N25:N32"/>
    <mergeCell ref="O25:O32"/>
    <mergeCell ref="AO11:AO23"/>
    <mergeCell ref="AP11:AP23"/>
    <mergeCell ref="AQ11:AQ23"/>
    <mergeCell ref="AB11:AB23"/>
    <mergeCell ref="Q11:Q15"/>
    <mergeCell ref="R11:R23"/>
    <mergeCell ref="S11:S23"/>
    <mergeCell ref="T11:T15"/>
    <mergeCell ref="U11:U15"/>
    <mergeCell ref="V11:V12"/>
    <mergeCell ref="U16:U18"/>
    <mergeCell ref="U20:U23"/>
    <mergeCell ref="AR11:AR23"/>
    <mergeCell ref="J16:J19"/>
    <mergeCell ref="K16:K19"/>
    <mergeCell ref="L16:L19"/>
    <mergeCell ref="M16:M19"/>
    <mergeCell ref="Q16:Q19"/>
    <mergeCell ref="T16:T19"/>
    <mergeCell ref="AI11:AI23"/>
    <mergeCell ref="AJ11:AJ23"/>
    <mergeCell ref="AK11:AK23"/>
    <mergeCell ref="AL11:AL23"/>
    <mergeCell ref="AM11:AM23"/>
    <mergeCell ref="AN11:AN23"/>
    <mergeCell ref="AC11:AC23"/>
    <mergeCell ref="AD11:AD23"/>
    <mergeCell ref="AE11:AE23"/>
    <mergeCell ref="AF11:AF23"/>
    <mergeCell ref="AG11:AG23"/>
    <mergeCell ref="AH11:AH23"/>
    <mergeCell ref="W11:W12"/>
    <mergeCell ref="X11:X12"/>
    <mergeCell ref="Y11:Y23"/>
    <mergeCell ref="Z11:Z23"/>
    <mergeCell ref="AA11:AA23"/>
    <mergeCell ref="J11:J15"/>
    <mergeCell ref="K11:K15"/>
    <mergeCell ref="L11:L15"/>
    <mergeCell ref="M11:M15"/>
    <mergeCell ref="N11:N23"/>
    <mergeCell ref="O11:O23"/>
    <mergeCell ref="P11:P23"/>
    <mergeCell ref="X6:X7"/>
    <mergeCell ref="Y6:Z6"/>
    <mergeCell ref="Q6:Q7"/>
    <mergeCell ref="R6:R7"/>
    <mergeCell ref="S6:S7"/>
    <mergeCell ref="T6:T7"/>
    <mergeCell ref="U6:U7"/>
    <mergeCell ref="W6:W7"/>
    <mergeCell ref="K6:K7"/>
    <mergeCell ref="L6:L7"/>
    <mergeCell ref="J20:J23"/>
    <mergeCell ref="K20:K23"/>
    <mergeCell ref="L20:L23"/>
    <mergeCell ref="M20:M23"/>
    <mergeCell ref="Q20:Q23"/>
    <mergeCell ref="T20:T23"/>
    <mergeCell ref="M6:M7"/>
    <mergeCell ref="N6:N7"/>
    <mergeCell ref="O6:O7"/>
    <mergeCell ref="P6:P7"/>
    <mergeCell ref="A1:AP4"/>
    <mergeCell ref="A5:M5"/>
    <mergeCell ref="P5:AR5"/>
    <mergeCell ref="A6:A7"/>
    <mergeCell ref="B6:C7"/>
    <mergeCell ref="D6:D7"/>
    <mergeCell ref="E6:F7"/>
    <mergeCell ref="G6:G7"/>
    <mergeCell ref="H6:I7"/>
    <mergeCell ref="J6:J7"/>
    <mergeCell ref="AP6:AP7"/>
    <mergeCell ref="AQ6:AQ7"/>
    <mergeCell ref="AR6:AR7"/>
    <mergeCell ref="AA6:AD6"/>
    <mergeCell ref="AE6:AJ6"/>
    <mergeCell ref="AK6:AM6"/>
    <mergeCell ref="AN6:AO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W138"/>
  <sheetViews>
    <sheetView showGridLines="0" tabSelected="1" topLeftCell="R118" zoomScale="55" zoomScaleNormal="55" workbookViewId="0">
      <selection activeCell="S126" sqref="S126"/>
    </sheetView>
  </sheetViews>
  <sheetFormatPr baseColWidth="10" defaultColWidth="11.42578125" defaultRowHeight="15" x14ac:dyDescent="0.2"/>
  <cols>
    <col min="1" max="1" width="14.42578125" style="884" customWidth="1"/>
    <col min="2" max="2" width="21.140625" style="884" customWidth="1"/>
    <col min="3" max="3" width="13.85546875" style="884" customWidth="1"/>
    <col min="4" max="4" width="21.42578125" style="884" customWidth="1"/>
    <col min="5" max="5" width="15.85546875" style="884" customWidth="1"/>
    <col min="6" max="6" width="26.140625" style="1049" customWidth="1"/>
    <col min="7" max="7" width="24.7109375" style="884" customWidth="1"/>
    <col min="8" max="8" width="37.85546875" style="2486" customWidth="1"/>
    <col min="9" max="9" width="30.5703125" style="2486" customWidth="1"/>
    <col min="10" max="10" width="12.140625" style="884" customWidth="1"/>
    <col min="11" max="11" width="36.28515625" style="884" customWidth="1"/>
    <col min="12" max="12" width="19.7109375" style="884" customWidth="1"/>
    <col min="13" max="13" width="35.5703125" style="2486" customWidth="1"/>
    <col min="14" max="14" width="18.7109375" style="884" customWidth="1"/>
    <col min="15" max="15" width="35.140625" style="1051" customWidth="1"/>
    <col min="16" max="16" width="29.42578125" style="2486" customWidth="1"/>
    <col min="17" max="17" width="45.140625" style="2486" customWidth="1"/>
    <col min="18" max="18" width="70.28515625" style="883" customWidth="1"/>
    <col min="19" max="19" width="30.28515625" style="1052" customWidth="1"/>
    <col min="20" max="20" width="19.5703125" style="1049" customWidth="1"/>
    <col min="21" max="21" width="25" style="1053" customWidth="1"/>
    <col min="22" max="37" width="12.42578125" style="884" customWidth="1"/>
    <col min="38" max="38" width="18" style="884" customWidth="1"/>
    <col min="39" max="39" width="18.42578125" style="884" customWidth="1"/>
    <col min="40" max="40" width="38.42578125" style="2486" customWidth="1"/>
    <col min="41" max="45" width="11.42578125" style="883"/>
    <col min="46" max="256" width="11.42578125" style="884"/>
    <col min="257" max="257" width="13.5703125" style="884" customWidth="1"/>
    <col min="258" max="258" width="19" style="884" customWidth="1"/>
    <col min="259" max="259" width="13.5703125" style="884" customWidth="1"/>
    <col min="260" max="260" width="19.7109375" style="884" customWidth="1"/>
    <col min="261" max="261" width="13.5703125" style="884" customWidth="1"/>
    <col min="262" max="263" width="14.7109375" style="884" customWidth="1"/>
    <col min="264" max="264" width="36.140625" style="884" customWidth="1"/>
    <col min="265" max="265" width="29.42578125" style="884" customWidth="1"/>
    <col min="266" max="266" width="16" style="884" customWidth="1"/>
    <col min="267" max="267" width="38.28515625" style="884" customWidth="1"/>
    <col min="268" max="268" width="12" style="884" customWidth="1"/>
    <col min="269" max="269" width="38.140625" style="884" customWidth="1"/>
    <col min="270" max="270" width="17.85546875" style="884" bestFit="1" customWidth="1"/>
    <col min="271" max="271" width="24.7109375" style="884" customWidth="1"/>
    <col min="272" max="272" width="36.42578125" style="884" customWidth="1"/>
    <col min="273" max="273" width="46.7109375" style="884" customWidth="1"/>
    <col min="274" max="274" width="43.7109375" style="884" customWidth="1"/>
    <col min="275" max="275" width="25.42578125" style="884" customWidth="1"/>
    <col min="276" max="276" width="12.42578125" style="884" customWidth="1"/>
    <col min="277" max="277" width="16.42578125" style="884" customWidth="1"/>
    <col min="278" max="278" width="13.42578125" style="884" customWidth="1"/>
    <col min="279" max="279" width="8.5703125" style="884" customWidth="1"/>
    <col min="280" max="283" width="11.42578125" style="884" customWidth="1"/>
    <col min="284" max="284" width="12.7109375" style="884" customWidth="1"/>
    <col min="285" max="285" width="11.85546875" style="884" customWidth="1"/>
    <col min="286" max="286" width="7.85546875" style="884" customWidth="1"/>
    <col min="287" max="287" width="7.5703125" style="884" customWidth="1"/>
    <col min="288" max="288" width="8.85546875" style="884" customWidth="1"/>
    <col min="289" max="289" width="8.140625" style="884" customWidth="1"/>
    <col min="290" max="290" width="7.85546875" style="884" customWidth="1"/>
    <col min="291" max="291" width="8.5703125" style="884" customWidth="1"/>
    <col min="292" max="292" width="8.28515625" style="884" customWidth="1"/>
    <col min="293" max="293" width="11.42578125" style="884" customWidth="1"/>
    <col min="294" max="294" width="18" style="884" customWidth="1"/>
    <col min="295" max="295" width="21.42578125" style="884" customWidth="1"/>
    <col min="296" max="296" width="27.85546875" style="884" customWidth="1"/>
    <col min="297" max="512" width="11.42578125" style="884"/>
    <col min="513" max="513" width="13.5703125" style="884" customWidth="1"/>
    <col min="514" max="514" width="19" style="884" customWidth="1"/>
    <col min="515" max="515" width="13.5703125" style="884" customWidth="1"/>
    <col min="516" max="516" width="19.7109375" style="884" customWidth="1"/>
    <col min="517" max="517" width="13.5703125" style="884" customWidth="1"/>
    <col min="518" max="519" width="14.7109375" style="884" customWidth="1"/>
    <col min="520" max="520" width="36.140625" style="884" customWidth="1"/>
    <col min="521" max="521" width="29.42578125" style="884" customWidth="1"/>
    <col min="522" max="522" width="16" style="884" customWidth="1"/>
    <col min="523" max="523" width="38.28515625" style="884" customWidth="1"/>
    <col min="524" max="524" width="12" style="884" customWidth="1"/>
    <col min="525" max="525" width="38.140625" style="884" customWidth="1"/>
    <col min="526" max="526" width="17.85546875" style="884" bestFit="1" customWidth="1"/>
    <col min="527" max="527" width="24.7109375" style="884" customWidth="1"/>
    <col min="528" max="528" width="36.42578125" style="884" customWidth="1"/>
    <col min="529" max="529" width="46.7109375" style="884" customWidth="1"/>
    <col min="530" max="530" width="43.7109375" style="884" customWidth="1"/>
    <col min="531" max="531" width="25.42578125" style="884" customWidth="1"/>
    <col min="532" max="532" width="12.42578125" style="884" customWidth="1"/>
    <col min="533" max="533" width="16.42578125" style="884" customWidth="1"/>
    <col min="534" max="534" width="13.42578125" style="884" customWidth="1"/>
    <col min="535" max="535" width="8.5703125" style="884" customWidth="1"/>
    <col min="536" max="539" width="11.42578125" style="884" customWidth="1"/>
    <col min="540" max="540" width="12.7109375" style="884" customWidth="1"/>
    <col min="541" max="541" width="11.85546875" style="884" customWidth="1"/>
    <col min="542" max="542" width="7.85546875" style="884" customWidth="1"/>
    <col min="543" max="543" width="7.5703125" style="884" customWidth="1"/>
    <col min="544" max="544" width="8.85546875" style="884" customWidth="1"/>
    <col min="545" max="545" width="8.140625" style="884" customWidth="1"/>
    <col min="546" max="546" width="7.85546875" style="884" customWidth="1"/>
    <col min="547" max="547" width="8.5703125" style="884" customWidth="1"/>
    <col min="548" max="548" width="8.28515625" style="884" customWidth="1"/>
    <col min="549" max="549" width="11.42578125" style="884" customWidth="1"/>
    <col min="550" max="550" width="18" style="884" customWidth="1"/>
    <col min="551" max="551" width="21.42578125" style="884" customWidth="1"/>
    <col min="552" max="552" width="27.85546875" style="884" customWidth="1"/>
    <col min="553" max="768" width="11.42578125" style="884"/>
    <col min="769" max="769" width="13.5703125" style="884" customWidth="1"/>
    <col min="770" max="770" width="19" style="884" customWidth="1"/>
    <col min="771" max="771" width="13.5703125" style="884" customWidth="1"/>
    <col min="772" max="772" width="19.7109375" style="884" customWidth="1"/>
    <col min="773" max="773" width="13.5703125" style="884" customWidth="1"/>
    <col min="774" max="775" width="14.7109375" style="884" customWidth="1"/>
    <col min="776" max="776" width="36.140625" style="884" customWidth="1"/>
    <col min="777" max="777" width="29.42578125" style="884" customWidth="1"/>
    <col min="778" max="778" width="16" style="884" customWidth="1"/>
    <col min="779" max="779" width="38.28515625" style="884" customWidth="1"/>
    <col min="780" max="780" width="12" style="884" customWidth="1"/>
    <col min="781" max="781" width="38.140625" style="884" customWidth="1"/>
    <col min="782" max="782" width="17.85546875" style="884" bestFit="1" customWidth="1"/>
    <col min="783" max="783" width="24.7109375" style="884" customWidth="1"/>
    <col min="784" max="784" width="36.42578125" style="884" customWidth="1"/>
    <col min="785" max="785" width="46.7109375" style="884" customWidth="1"/>
    <col min="786" max="786" width="43.7109375" style="884" customWidth="1"/>
    <col min="787" max="787" width="25.42578125" style="884" customWidth="1"/>
    <col min="788" max="788" width="12.42578125" style="884" customWidth="1"/>
    <col min="789" max="789" width="16.42578125" style="884" customWidth="1"/>
    <col min="790" max="790" width="13.42578125" style="884" customWidth="1"/>
    <col min="791" max="791" width="8.5703125" style="884" customWidth="1"/>
    <col min="792" max="795" width="11.42578125" style="884" customWidth="1"/>
    <col min="796" max="796" width="12.7109375" style="884" customWidth="1"/>
    <col min="797" max="797" width="11.85546875" style="884" customWidth="1"/>
    <col min="798" max="798" width="7.85546875" style="884" customWidth="1"/>
    <col min="799" max="799" width="7.5703125" style="884" customWidth="1"/>
    <col min="800" max="800" width="8.85546875" style="884" customWidth="1"/>
    <col min="801" max="801" width="8.140625" style="884" customWidth="1"/>
    <col min="802" max="802" width="7.85546875" style="884" customWidth="1"/>
    <col min="803" max="803" width="8.5703125" style="884" customWidth="1"/>
    <col min="804" max="804" width="8.28515625" style="884" customWidth="1"/>
    <col min="805" max="805" width="11.42578125" style="884" customWidth="1"/>
    <col min="806" max="806" width="18" style="884" customWidth="1"/>
    <col min="807" max="807" width="21.42578125" style="884" customWidth="1"/>
    <col min="808" max="808" width="27.85546875" style="884" customWidth="1"/>
    <col min="809" max="1024" width="11.42578125" style="884"/>
    <col min="1025" max="1025" width="13.5703125" style="884" customWidth="1"/>
    <col min="1026" max="1026" width="19" style="884" customWidth="1"/>
    <col min="1027" max="1027" width="13.5703125" style="884" customWidth="1"/>
    <col min="1028" max="1028" width="19.7109375" style="884" customWidth="1"/>
    <col min="1029" max="1029" width="13.5703125" style="884" customWidth="1"/>
    <col min="1030" max="1031" width="14.7109375" style="884" customWidth="1"/>
    <col min="1032" max="1032" width="36.140625" style="884" customWidth="1"/>
    <col min="1033" max="1033" width="29.42578125" style="884" customWidth="1"/>
    <col min="1034" max="1034" width="16" style="884" customWidth="1"/>
    <col min="1035" max="1035" width="38.28515625" style="884" customWidth="1"/>
    <col min="1036" max="1036" width="12" style="884" customWidth="1"/>
    <col min="1037" max="1037" width="38.140625" style="884" customWidth="1"/>
    <col min="1038" max="1038" width="17.85546875" style="884" bestFit="1" customWidth="1"/>
    <col min="1039" max="1039" width="24.7109375" style="884" customWidth="1"/>
    <col min="1040" max="1040" width="36.42578125" style="884" customWidth="1"/>
    <col min="1041" max="1041" width="46.7109375" style="884" customWidth="1"/>
    <col min="1042" max="1042" width="43.7109375" style="884" customWidth="1"/>
    <col min="1043" max="1043" width="25.42578125" style="884" customWidth="1"/>
    <col min="1044" max="1044" width="12.42578125" style="884" customWidth="1"/>
    <col min="1045" max="1045" width="16.42578125" style="884" customWidth="1"/>
    <col min="1046" max="1046" width="13.42578125" style="884" customWidth="1"/>
    <col min="1047" max="1047" width="8.5703125" style="884" customWidth="1"/>
    <col min="1048" max="1051" width="11.42578125" style="884" customWidth="1"/>
    <col min="1052" max="1052" width="12.7109375" style="884" customWidth="1"/>
    <col min="1053" max="1053" width="11.85546875" style="884" customWidth="1"/>
    <col min="1054" max="1054" width="7.85546875" style="884" customWidth="1"/>
    <col min="1055" max="1055" width="7.5703125" style="884" customWidth="1"/>
    <col min="1056" max="1056" width="8.85546875" style="884" customWidth="1"/>
    <col min="1057" max="1057" width="8.140625" style="884" customWidth="1"/>
    <col min="1058" max="1058" width="7.85546875" style="884" customWidth="1"/>
    <col min="1059" max="1059" width="8.5703125" style="884" customWidth="1"/>
    <col min="1060" max="1060" width="8.28515625" style="884" customWidth="1"/>
    <col min="1061" max="1061" width="11.42578125" style="884" customWidth="1"/>
    <col min="1062" max="1062" width="18" style="884" customWidth="1"/>
    <col min="1063" max="1063" width="21.42578125" style="884" customWidth="1"/>
    <col min="1064" max="1064" width="27.85546875" style="884" customWidth="1"/>
    <col min="1065" max="1280" width="11.42578125" style="884"/>
    <col min="1281" max="1281" width="13.5703125" style="884" customWidth="1"/>
    <col min="1282" max="1282" width="19" style="884" customWidth="1"/>
    <col min="1283" max="1283" width="13.5703125" style="884" customWidth="1"/>
    <col min="1284" max="1284" width="19.7109375" style="884" customWidth="1"/>
    <col min="1285" max="1285" width="13.5703125" style="884" customWidth="1"/>
    <col min="1286" max="1287" width="14.7109375" style="884" customWidth="1"/>
    <col min="1288" max="1288" width="36.140625" style="884" customWidth="1"/>
    <col min="1289" max="1289" width="29.42578125" style="884" customWidth="1"/>
    <col min="1290" max="1290" width="16" style="884" customWidth="1"/>
    <col min="1291" max="1291" width="38.28515625" style="884" customWidth="1"/>
    <col min="1292" max="1292" width="12" style="884" customWidth="1"/>
    <col min="1293" max="1293" width="38.140625" style="884" customWidth="1"/>
    <col min="1294" max="1294" width="17.85546875" style="884" bestFit="1" customWidth="1"/>
    <col min="1295" max="1295" width="24.7109375" style="884" customWidth="1"/>
    <col min="1296" max="1296" width="36.42578125" style="884" customWidth="1"/>
    <col min="1297" max="1297" width="46.7109375" style="884" customWidth="1"/>
    <col min="1298" max="1298" width="43.7109375" style="884" customWidth="1"/>
    <col min="1299" max="1299" width="25.42578125" style="884" customWidth="1"/>
    <col min="1300" max="1300" width="12.42578125" style="884" customWidth="1"/>
    <col min="1301" max="1301" width="16.42578125" style="884" customWidth="1"/>
    <col min="1302" max="1302" width="13.42578125" style="884" customWidth="1"/>
    <col min="1303" max="1303" width="8.5703125" style="884" customWidth="1"/>
    <col min="1304" max="1307" width="11.42578125" style="884" customWidth="1"/>
    <col min="1308" max="1308" width="12.7109375" style="884" customWidth="1"/>
    <col min="1309" max="1309" width="11.85546875" style="884" customWidth="1"/>
    <col min="1310" max="1310" width="7.85546875" style="884" customWidth="1"/>
    <col min="1311" max="1311" width="7.5703125" style="884" customWidth="1"/>
    <col min="1312" max="1312" width="8.85546875" style="884" customWidth="1"/>
    <col min="1313" max="1313" width="8.140625" style="884" customWidth="1"/>
    <col min="1314" max="1314" width="7.85546875" style="884" customWidth="1"/>
    <col min="1315" max="1315" width="8.5703125" style="884" customWidth="1"/>
    <col min="1316" max="1316" width="8.28515625" style="884" customWidth="1"/>
    <col min="1317" max="1317" width="11.42578125" style="884" customWidth="1"/>
    <col min="1318" max="1318" width="18" style="884" customWidth="1"/>
    <col min="1319" max="1319" width="21.42578125" style="884" customWidth="1"/>
    <col min="1320" max="1320" width="27.85546875" style="884" customWidth="1"/>
    <col min="1321" max="1536" width="11.42578125" style="884"/>
    <col min="1537" max="1537" width="13.5703125" style="884" customWidth="1"/>
    <col min="1538" max="1538" width="19" style="884" customWidth="1"/>
    <col min="1539" max="1539" width="13.5703125" style="884" customWidth="1"/>
    <col min="1540" max="1540" width="19.7109375" style="884" customWidth="1"/>
    <col min="1541" max="1541" width="13.5703125" style="884" customWidth="1"/>
    <col min="1542" max="1543" width="14.7109375" style="884" customWidth="1"/>
    <col min="1544" max="1544" width="36.140625" style="884" customWidth="1"/>
    <col min="1545" max="1545" width="29.42578125" style="884" customWidth="1"/>
    <col min="1546" max="1546" width="16" style="884" customWidth="1"/>
    <col min="1547" max="1547" width="38.28515625" style="884" customWidth="1"/>
    <col min="1548" max="1548" width="12" style="884" customWidth="1"/>
    <col min="1549" max="1549" width="38.140625" style="884" customWidth="1"/>
    <col min="1550" max="1550" width="17.85546875" style="884" bestFit="1" customWidth="1"/>
    <col min="1551" max="1551" width="24.7109375" style="884" customWidth="1"/>
    <col min="1552" max="1552" width="36.42578125" style="884" customWidth="1"/>
    <col min="1553" max="1553" width="46.7109375" style="884" customWidth="1"/>
    <col min="1554" max="1554" width="43.7109375" style="884" customWidth="1"/>
    <col min="1555" max="1555" width="25.42578125" style="884" customWidth="1"/>
    <col min="1556" max="1556" width="12.42578125" style="884" customWidth="1"/>
    <col min="1557" max="1557" width="16.42578125" style="884" customWidth="1"/>
    <col min="1558" max="1558" width="13.42578125" style="884" customWidth="1"/>
    <col min="1559" max="1559" width="8.5703125" style="884" customWidth="1"/>
    <col min="1560" max="1563" width="11.42578125" style="884" customWidth="1"/>
    <col min="1564" max="1564" width="12.7109375" style="884" customWidth="1"/>
    <col min="1565" max="1565" width="11.85546875" style="884" customWidth="1"/>
    <col min="1566" max="1566" width="7.85546875" style="884" customWidth="1"/>
    <col min="1567" max="1567" width="7.5703125" style="884" customWidth="1"/>
    <col min="1568" max="1568" width="8.85546875" style="884" customWidth="1"/>
    <col min="1569" max="1569" width="8.140625" style="884" customWidth="1"/>
    <col min="1570" max="1570" width="7.85546875" style="884" customWidth="1"/>
    <col min="1571" max="1571" width="8.5703125" style="884" customWidth="1"/>
    <col min="1572" max="1572" width="8.28515625" style="884" customWidth="1"/>
    <col min="1573" max="1573" width="11.42578125" style="884" customWidth="1"/>
    <col min="1574" max="1574" width="18" style="884" customWidth="1"/>
    <col min="1575" max="1575" width="21.42578125" style="884" customWidth="1"/>
    <col min="1576" max="1576" width="27.85546875" style="884" customWidth="1"/>
    <col min="1577" max="1792" width="11.42578125" style="884"/>
    <col min="1793" max="1793" width="13.5703125" style="884" customWidth="1"/>
    <col min="1794" max="1794" width="19" style="884" customWidth="1"/>
    <col min="1795" max="1795" width="13.5703125" style="884" customWidth="1"/>
    <col min="1796" max="1796" width="19.7109375" style="884" customWidth="1"/>
    <col min="1797" max="1797" width="13.5703125" style="884" customWidth="1"/>
    <col min="1798" max="1799" width="14.7109375" style="884" customWidth="1"/>
    <col min="1800" max="1800" width="36.140625" style="884" customWidth="1"/>
    <col min="1801" max="1801" width="29.42578125" style="884" customWidth="1"/>
    <col min="1802" max="1802" width="16" style="884" customWidth="1"/>
    <col min="1803" max="1803" width="38.28515625" style="884" customWidth="1"/>
    <col min="1804" max="1804" width="12" style="884" customWidth="1"/>
    <col min="1805" max="1805" width="38.140625" style="884" customWidth="1"/>
    <col min="1806" max="1806" width="17.85546875" style="884" bestFit="1" customWidth="1"/>
    <col min="1807" max="1807" width="24.7109375" style="884" customWidth="1"/>
    <col min="1808" max="1808" width="36.42578125" style="884" customWidth="1"/>
    <col min="1809" max="1809" width="46.7109375" style="884" customWidth="1"/>
    <col min="1810" max="1810" width="43.7109375" style="884" customWidth="1"/>
    <col min="1811" max="1811" width="25.42578125" style="884" customWidth="1"/>
    <col min="1812" max="1812" width="12.42578125" style="884" customWidth="1"/>
    <col min="1813" max="1813" width="16.42578125" style="884" customWidth="1"/>
    <col min="1814" max="1814" width="13.42578125" style="884" customWidth="1"/>
    <col min="1815" max="1815" width="8.5703125" style="884" customWidth="1"/>
    <col min="1816" max="1819" width="11.42578125" style="884" customWidth="1"/>
    <col min="1820" max="1820" width="12.7109375" style="884" customWidth="1"/>
    <col min="1821" max="1821" width="11.85546875" style="884" customWidth="1"/>
    <col min="1822" max="1822" width="7.85546875" style="884" customWidth="1"/>
    <col min="1823" max="1823" width="7.5703125" style="884" customWidth="1"/>
    <col min="1824" max="1824" width="8.85546875" style="884" customWidth="1"/>
    <col min="1825" max="1825" width="8.140625" style="884" customWidth="1"/>
    <col min="1826" max="1826" width="7.85546875" style="884" customWidth="1"/>
    <col min="1827" max="1827" width="8.5703125" style="884" customWidth="1"/>
    <col min="1828" max="1828" width="8.28515625" style="884" customWidth="1"/>
    <col min="1829" max="1829" width="11.42578125" style="884" customWidth="1"/>
    <col min="1830" max="1830" width="18" style="884" customWidth="1"/>
    <col min="1831" max="1831" width="21.42578125" style="884" customWidth="1"/>
    <col min="1832" max="1832" width="27.85546875" style="884" customWidth="1"/>
    <col min="1833" max="2048" width="11.42578125" style="884"/>
    <col min="2049" max="2049" width="13.5703125" style="884" customWidth="1"/>
    <col min="2050" max="2050" width="19" style="884" customWidth="1"/>
    <col min="2051" max="2051" width="13.5703125" style="884" customWidth="1"/>
    <col min="2052" max="2052" width="19.7109375" style="884" customWidth="1"/>
    <col min="2053" max="2053" width="13.5703125" style="884" customWidth="1"/>
    <col min="2054" max="2055" width="14.7109375" style="884" customWidth="1"/>
    <col min="2056" max="2056" width="36.140625" style="884" customWidth="1"/>
    <col min="2057" max="2057" width="29.42578125" style="884" customWidth="1"/>
    <col min="2058" max="2058" width="16" style="884" customWidth="1"/>
    <col min="2059" max="2059" width="38.28515625" style="884" customWidth="1"/>
    <col min="2060" max="2060" width="12" style="884" customWidth="1"/>
    <col min="2061" max="2061" width="38.140625" style="884" customWidth="1"/>
    <col min="2062" max="2062" width="17.85546875" style="884" bestFit="1" customWidth="1"/>
    <col min="2063" max="2063" width="24.7109375" style="884" customWidth="1"/>
    <col min="2064" max="2064" width="36.42578125" style="884" customWidth="1"/>
    <col min="2065" max="2065" width="46.7109375" style="884" customWidth="1"/>
    <col min="2066" max="2066" width="43.7109375" style="884" customWidth="1"/>
    <col min="2067" max="2067" width="25.42578125" style="884" customWidth="1"/>
    <col min="2068" max="2068" width="12.42578125" style="884" customWidth="1"/>
    <col min="2069" max="2069" width="16.42578125" style="884" customWidth="1"/>
    <col min="2070" max="2070" width="13.42578125" style="884" customWidth="1"/>
    <col min="2071" max="2071" width="8.5703125" style="884" customWidth="1"/>
    <col min="2072" max="2075" width="11.42578125" style="884" customWidth="1"/>
    <col min="2076" max="2076" width="12.7109375" style="884" customWidth="1"/>
    <col min="2077" max="2077" width="11.85546875" style="884" customWidth="1"/>
    <col min="2078" max="2078" width="7.85546875" style="884" customWidth="1"/>
    <col min="2079" max="2079" width="7.5703125" style="884" customWidth="1"/>
    <col min="2080" max="2080" width="8.85546875" style="884" customWidth="1"/>
    <col min="2081" max="2081" width="8.140625" style="884" customWidth="1"/>
    <col min="2082" max="2082" width="7.85546875" style="884" customWidth="1"/>
    <col min="2083" max="2083" width="8.5703125" style="884" customWidth="1"/>
    <col min="2084" max="2084" width="8.28515625" style="884" customWidth="1"/>
    <col min="2085" max="2085" width="11.42578125" style="884" customWidth="1"/>
    <col min="2086" max="2086" width="18" style="884" customWidth="1"/>
    <col min="2087" max="2087" width="21.42578125" style="884" customWidth="1"/>
    <col min="2088" max="2088" width="27.85546875" style="884" customWidth="1"/>
    <col min="2089" max="2304" width="11.42578125" style="884"/>
    <col min="2305" max="2305" width="13.5703125" style="884" customWidth="1"/>
    <col min="2306" max="2306" width="19" style="884" customWidth="1"/>
    <col min="2307" max="2307" width="13.5703125" style="884" customWidth="1"/>
    <col min="2308" max="2308" width="19.7109375" style="884" customWidth="1"/>
    <col min="2309" max="2309" width="13.5703125" style="884" customWidth="1"/>
    <col min="2310" max="2311" width="14.7109375" style="884" customWidth="1"/>
    <col min="2312" max="2312" width="36.140625" style="884" customWidth="1"/>
    <col min="2313" max="2313" width="29.42578125" style="884" customWidth="1"/>
    <col min="2314" max="2314" width="16" style="884" customWidth="1"/>
    <col min="2315" max="2315" width="38.28515625" style="884" customWidth="1"/>
    <col min="2316" max="2316" width="12" style="884" customWidth="1"/>
    <col min="2317" max="2317" width="38.140625" style="884" customWidth="1"/>
    <col min="2318" max="2318" width="17.85546875" style="884" bestFit="1" customWidth="1"/>
    <col min="2319" max="2319" width="24.7109375" style="884" customWidth="1"/>
    <col min="2320" max="2320" width="36.42578125" style="884" customWidth="1"/>
    <col min="2321" max="2321" width="46.7109375" style="884" customWidth="1"/>
    <col min="2322" max="2322" width="43.7109375" style="884" customWidth="1"/>
    <col min="2323" max="2323" width="25.42578125" style="884" customWidth="1"/>
    <col min="2324" max="2324" width="12.42578125" style="884" customWidth="1"/>
    <col min="2325" max="2325" width="16.42578125" style="884" customWidth="1"/>
    <col min="2326" max="2326" width="13.42578125" style="884" customWidth="1"/>
    <col min="2327" max="2327" width="8.5703125" style="884" customWidth="1"/>
    <col min="2328" max="2331" width="11.42578125" style="884" customWidth="1"/>
    <col min="2332" max="2332" width="12.7109375" style="884" customWidth="1"/>
    <col min="2333" max="2333" width="11.85546875" style="884" customWidth="1"/>
    <col min="2334" max="2334" width="7.85546875" style="884" customWidth="1"/>
    <col min="2335" max="2335" width="7.5703125" style="884" customWidth="1"/>
    <col min="2336" max="2336" width="8.85546875" style="884" customWidth="1"/>
    <col min="2337" max="2337" width="8.140625" style="884" customWidth="1"/>
    <col min="2338" max="2338" width="7.85546875" style="884" customWidth="1"/>
    <col min="2339" max="2339" width="8.5703125" style="884" customWidth="1"/>
    <col min="2340" max="2340" width="8.28515625" style="884" customWidth="1"/>
    <col min="2341" max="2341" width="11.42578125" style="884" customWidth="1"/>
    <col min="2342" max="2342" width="18" style="884" customWidth="1"/>
    <col min="2343" max="2343" width="21.42578125" style="884" customWidth="1"/>
    <col min="2344" max="2344" width="27.85546875" style="884" customWidth="1"/>
    <col min="2345" max="2560" width="11.42578125" style="884"/>
    <col min="2561" max="2561" width="13.5703125" style="884" customWidth="1"/>
    <col min="2562" max="2562" width="19" style="884" customWidth="1"/>
    <col min="2563" max="2563" width="13.5703125" style="884" customWidth="1"/>
    <col min="2564" max="2564" width="19.7109375" style="884" customWidth="1"/>
    <col min="2565" max="2565" width="13.5703125" style="884" customWidth="1"/>
    <col min="2566" max="2567" width="14.7109375" style="884" customWidth="1"/>
    <col min="2568" max="2568" width="36.140625" style="884" customWidth="1"/>
    <col min="2569" max="2569" width="29.42578125" style="884" customWidth="1"/>
    <col min="2570" max="2570" width="16" style="884" customWidth="1"/>
    <col min="2571" max="2571" width="38.28515625" style="884" customWidth="1"/>
    <col min="2572" max="2572" width="12" style="884" customWidth="1"/>
    <col min="2573" max="2573" width="38.140625" style="884" customWidth="1"/>
    <col min="2574" max="2574" width="17.85546875" style="884" bestFit="1" customWidth="1"/>
    <col min="2575" max="2575" width="24.7109375" style="884" customWidth="1"/>
    <col min="2576" max="2576" width="36.42578125" style="884" customWidth="1"/>
    <col min="2577" max="2577" width="46.7109375" style="884" customWidth="1"/>
    <col min="2578" max="2578" width="43.7109375" style="884" customWidth="1"/>
    <col min="2579" max="2579" width="25.42578125" style="884" customWidth="1"/>
    <col min="2580" max="2580" width="12.42578125" style="884" customWidth="1"/>
    <col min="2581" max="2581" width="16.42578125" style="884" customWidth="1"/>
    <col min="2582" max="2582" width="13.42578125" style="884" customWidth="1"/>
    <col min="2583" max="2583" width="8.5703125" style="884" customWidth="1"/>
    <col min="2584" max="2587" width="11.42578125" style="884" customWidth="1"/>
    <col min="2588" max="2588" width="12.7109375" style="884" customWidth="1"/>
    <col min="2589" max="2589" width="11.85546875" style="884" customWidth="1"/>
    <col min="2590" max="2590" width="7.85546875" style="884" customWidth="1"/>
    <col min="2591" max="2591" width="7.5703125" style="884" customWidth="1"/>
    <col min="2592" max="2592" width="8.85546875" style="884" customWidth="1"/>
    <col min="2593" max="2593" width="8.140625" style="884" customWidth="1"/>
    <col min="2594" max="2594" width="7.85546875" style="884" customWidth="1"/>
    <col min="2595" max="2595" width="8.5703125" style="884" customWidth="1"/>
    <col min="2596" max="2596" width="8.28515625" style="884" customWidth="1"/>
    <col min="2597" max="2597" width="11.42578125" style="884" customWidth="1"/>
    <col min="2598" max="2598" width="18" style="884" customWidth="1"/>
    <col min="2599" max="2599" width="21.42578125" style="884" customWidth="1"/>
    <col min="2600" max="2600" width="27.85546875" style="884" customWidth="1"/>
    <col min="2601" max="2816" width="11.42578125" style="884"/>
    <col min="2817" max="2817" width="13.5703125" style="884" customWidth="1"/>
    <col min="2818" max="2818" width="19" style="884" customWidth="1"/>
    <col min="2819" max="2819" width="13.5703125" style="884" customWidth="1"/>
    <col min="2820" max="2820" width="19.7109375" style="884" customWidth="1"/>
    <col min="2821" max="2821" width="13.5703125" style="884" customWidth="1"/>
    <col min="2822" max="2823" width="14.7109375" style="884" customWidth="1"/>
    <col min="2824" max="2824" width="36.140625" style="884" customWidth="1"/>
    <col min="2825" max="2825" width="29.42578125" style="884" customWidth="1"/>
    <col min="2826" max="2826" width="16" style="884" customWidth="1"/>
    <col min="2827" max="2827" width="38.28515625" style="884" customWidth="1"/>
    <col min="2828" max="2828" width="12" style="884" customWidth="1"/>
    <col min="2829" max="2829" width="38.140625" style="884" customWidth="1"/>
    <col min="2830" max="2830" width="17.85546875" style="884" bestFit="1" customWidth="1"/>
    <col min="2831" max="2831" width="24.7109375" style="884" customWidth="1"/>
    <col min="2832" max="2832" width="36.42578125" style="884" customWidth="1"/>
    <col min="2833" max="2833" width="46.7109375" style="884" customWidth="1"/>
    <col min="2834" max="2834" width="43.7109375" style="884" customWidth="1"/>
    <col min="2835" max="2835" width="25.42578125" style="884" customWidth="1"/>
    <col min="2836" max="2836" width="12.42578125" style="884" customWidth="1"/>
    <col min="2837" max="2837" width="16.42578125" style="884" customWidth="1"/>
    <col min="2838" max="2838" width="13.42578125" style="884" customWidth="1"/>
    <col min="2839" max="2839" width="8.5703125" style="884" customWidth="1"/>
    <col min="2840" max="2843" width="11.42578125" style="884" customWidth="1"/>
    <col min="2844" max="2844" width="12.7109375" style="884" customWidth="1"/>
    <col min="2845" max="2845" width="11.85546875" style="884" customWidth="1"/>
    <col min="2846" max="2846" width="7.85546875" style="884" customWidth="1"/>
    <col min="2847" max="2847" width="7.5703125" style="884" customWidth="1"/>
    <col min="2848" max="2848" width="8.85546875" style="884" customWidth="1"/>
    <col min="2849" max="2849" width="8.140625" style="884" customWidth="1"/>
    <col min="2850" max="2850" width="7.85546875" style="884" customWidth="1"/>
    <col min="2851" max="2851" width="8.5703125" style="884" customWidth="1"/>
    <col min="2852" max="2852" width="8.28515625" style="884" customWidth="1"/>
    <col min="2853" max="2853" width="11.42578125" style="884" customWidth="1"/>
    <col min="2854" max="2854" width="18" style="884" customWidth="1"/>
    <col min="2855" max="2855" width="21.42578125" style="884" customWidth="1"/>
    <col min="2856" max="2856" width="27.85546875" style="884" customWidth="1"/>
    <col min="2857" max="3072" width="11.42578125" style="884"/>
    <col min="3073" max="3073" width="13.5703125" style="884" customWidth="1"/>
    <col min="3074" max="3074" width="19" style="884" customWidth="1"/>
    <col min="3075" max="3075" width="13.5703125" style="884" customWidth="1"/>
    <col min="3076" max="3076" width="19.7109375" style="884" customWidth="1"/>
    <col min="3077" max="3077" width="13.5703125" style="884" customWidth="1"/>
    <col min="3078" max="3079" width="14.7109375" style="884" customWidth="1"/>
    <col min="3080" max="3080" width="36.140625" style="884" customWidth="1"/>
    <col min="3081" max="3081" width="29.42578125" style="884" customWidth="1"/>
    <col min="3082" max="3082" width="16" style="884" customWidth="1"/>
    <col min="3083" max="3083" width="38.28515625" style="884" customWidth="1"/>
    <col min="3084" max="3084" width="12" style="884" customWidth="1"/>
    <col min="3085" max="3085" width="38.140625" style="884" customWidth="1"/>
    <col min="3086" max="3086" width="17.85546875" style="884" bestFit="1" customWidth="1"/>
    <col min="3087" max="3087" width="24.7109375" style="884" customWidth="1"/>
    <col min="3088" max="3088" width="36.42578125" style="884" customWidth="1"/>
    <col min="3089" max="3089" width="46.7109375" style="884" customWidth="1"/>
    <col min="3090" max="3090" width="43.7109375" style="884" customWidth="1"/>
    <col min="3091" max="3091" width="25.42578125" style="884" customWidth="1"/>
    <col min="3092" max="3092" width="12.42578125" style="884" customWidth="1"/>
    <col min="3093" max="3093" width="16.42578125" style="884" customWidth="1"/>
    <col min="3094" max="3094" width="13.42578125" style="884" customWidth="1"/>
    <col min="3095" max="3095" width="8.5703125" style="884" customWidth="1"/>
    <col min="3096" max="3099" width="11.42578125" style="884" customWidth="1"/>
    <col min="3100" max="3100" width="12.7109375" style="884" customWidth="1"/>
    <col min="3101" max="3101" width="11.85546875" style="884" customWidth="1"/>
    <col min="3102" max="3102" width="7.85546875" style="884" customWidth="1"/>
    <col min="3103" max="3103" width="7.5703125" style="884" customWidth="1"/>
    <col min="3104" max="3104" width="8.85546875" style="884" customWidth="1"/>
    <col min="3105" max="3105" width="8.140625" style="884" customWidth="1"/>
    <col min="3106" max="3106" width="7.85546875" style="884" customWidth="1"/>
    <col min="3107" max="3107" width="8.5703125" style="884" customWidth="1"/>
    <col min="3108" max="3108" width="8.28515625" style="884" customWidth="1"/>
    <col min="3109" max="3109" width="11.42578125" style="884" customWidth="1"/>
    <col min="3110" max="3110" width="18" style="884" customWidth="1"/>
    <col min="3111" max="3111" width="21.42578125" style="884" customWidth="1"/>
    <col min="3112" max="3112" width="27.85546875" style="884" customWidth="1"/>
    <col min="3113" max="3328" width="11.42578125" style="884"/>
    <col min="3329" max="3329" width="13.5703125" style="884" customWidth="1"/>
    <col min="3330" max="3330" width="19" style="884" customWidth="1"/>
    <col min="3331" max="3331" width="13.5703125" style="884" customWidth="1"/>
    <col min="3332" max="3332" width="19.7109375" style="884" customWidth="1"/>
    <col min="3333" max="3333" width="13.5703125" style="884" customWidth="1"/>
    <col min="3334" max="3335" width="14.7109375" style="884" customWidth="1"/>
    <col min="3336" max="3336" width="36.140625" style="884" customWidth="1"/>
    <col min="3337" max="3337" width="29.42578125" style="884" customWidth="1"/>
    <col min="3338" max="3338" width="16" style="884" customWidth="1"/>
    <col min="3339" max="3339" width="38.28515625" style="884" customWidth="1"/>
    <col min="3340" max="3340" width="12" style="884" customWidth="1"/>
    <col min="3341" max="3341" width="38.140625" style="884" customWidth="1"/>
    <col min="3342" max="3342" width="17.85546875" style="884" bestFit="1" customWidth="1"/>
    <col min="3343" max="3343" width="24.7109375" style="884" customWidth="1"/>
    <col min="3344" max="3344" width="36.42578125" style="884" customWidth="1"/>
    <col min="3345" max="3345" width="46.7109375" style="884" customWidth="1"/>
    <col min="3346" max="3346" width="43.7109375" style="884" customWidth="1"/>
    <col min="3347" max="3347" width="25.42578125" style="884" customWidth="1"/>
    <col min="3348" max="3348" width="12.42578125" style="884" customWidth="1"/>
    <col min="3349" max="3349" width="16.42578125" style="884" customWidth="1"/>
    <col min="3350" max="3350" width="13.42578125" style="884" customWidth="1"/>
    <col min="3351" max="3351" width="8.5703125" style="884" customWidth="1"/>
    <col min="3352" max="3355" width="11.42578125" style="884" customWidth="1"/>
    <col min="3356" max="3356" width="12.7109375" style="884" customWidth="1"/>
    <col min="3357" max="3357" width="11.85546875" style="884" customWidth="1"/>
    <col min="3358" max="3358" width="7.85546875" style="884" customWidth="1"/>
    <col min="3359" max="3359" width="7.5703125" style="884" customWidth="1"/>
    <col min="3360" max="3360" width="8.85546875" style="884" customWidth="1"/>
    <col min="3361" max="3361" width="8.140625" style="884" customWidth="1"/>
    <col min="3362" max="3362" width="7.85546875" style="884" customWidth="1"/>
    <col min="3363" max="3363" width="8.5703125" style="884" customWidth="1"/>
    <col min="3364" max="3364" width="8.28515625" style="884" customWidth="1"/>
    <col min="3365" max="3365" width="11.42578125" style="884" customWidth="1"/>
    <col min="3366" max="3366" width="18" style="884" customWidth="1"/>
    <col min="3367" max="3367" width="21.42578125" style="884" customWidth="1"/>
    <col min="3368" max="3368" width="27.85546875" style="884" customWidth="1"/>
    <col min="3369" max="3584" width="11.42578125" style="884"/>
    <col min="3585" max="3585" width="13.5703125" style="884" customWidth="1"/>
    <col min="3586" max="3586" width="19" style="884" customWidth="1"/>
    <col min="3587" max="3587" width="13.5703125" style="884" customWidth="1"/>
    <col min="3588" max="3588" width="19.7109375" style="884" customWidth="1"/>
    <col min="3589" max="3589" width="13.5703125" style="884" customWidth="1"/>
    <col min="3590" max="3591" width="14.7109375" style="884" customWidth="1"/>
    <col min="3592" max="3592" width="36.140625" style="884" customWidth="1"/>
    <col min="3593" max="3593" width="29.42578125" style="884" customWidth="1"/>
    <col min="3594" max="3594" width="16" style="884" customWidth="1"/>
    <col min="3595" max="3595" width="38.28515625" style="884" customWidth="1"/>
    <col min="3596" max="3596" width="12" style="884" customWidth="1"/>
    <col min="3597" max="3597" width="38.140625" style="884" customWidth="1"/>
    <col min="3598" max="3598" width="17.85546875" style="884" bestFit="1" customWidth="1"/>
    <col min="3599" max="3599" width="24.7109375" style="884" customWidth="1"/>
    <col min="3600" max="3600" width="36.42578125" style="884" customWidth="1"/>
    <col min="3601" max="3601" width="46.7109375" style="884" customWidth="1"/>
    <col min="3602" max="3602" width="43.7109375" style="884" customWidth="1"/>
    <col min="3603" max="3603" width="25.42578125" style="884" customWidth="1"/>
    <col min="3604" max="3604" width="12.42578125" style="884" customWidth="1"/>
    <col min="3605" max="3605" width="16.42578125" style="884" customWidth="1"/>
    <col min="3606" max="3606" width="13.42578125" style="884" customWidth="1"/>
    <col min="3607" max="3607" width="8.5703125" style="884" customWidth="1"/>
    <col min="3608" max="3611" width="11.42578125" style="884" customWidth="1"/>
    <col min="3612" max="3612" width="12.7109375" style="884" customWidth="1"/>
    <col min="3613" max="3613" width="11.85546875" style="884" customWidth="1"/>
    <col min="3614" max="3614" width="7.85546875" style="884" customWidth="1"/>
    <col min="3615" max="3615" width="7.5703125" style="884" customWidth="1"/>
    <col min="3616" max="3616" width="8.85546875" style="884" customWidth="1"/>
    <col min="3617" max="3617" width="8.140625" style="884" customWidth="1"/>
    <col min="3618" max="3618" width="7.85546875" style="884" customWidth="1"/>
    <col min="3619" max="3619" width="8.5703125" style="884" customWidth="1"/>
    <col min="3620" max="3620" width="8.28515625" style="884" customWidth="1"/>
    <col min="3621" max="3621" width="11.42578125" style="884" customWidth="1"/>
    <col min="3622" max="3622" width="18" style="884" customWidth="1"/>
    <col min="3623" max="3623" width="21.42578125" style="884" customWidth="1"/>
    <col min="3624" max="3624" width="27.85546875" style="884" customWidth="1"/>
    <col min="3625" max="3840" width="11.42578125" style="884"/>
    <col min="3841" max="3841" width="13.5703125" style="884" customWidth="1"/>
    <col min="3842" max="3842" width="19" style="884" customWidth="1"/>
    <col min="3843" max="3843" width="13.5703125" style="884" customWidth="1"/>
    <col min="3844" max="3844" width="19.7109375" style="884" customWidth="1"/>
    <col min="3845" max="3845" width="13.5703125" style="884" customWidth="1"/>
    <col min="3846" max="3847" width="14.7109375" style="884" customWidth="1"/>
    <col min="3848" max="3848" width="36.140625" style="884" customWidth="1"/>
    <col min="3849" max="3849" width="29.42578125" style="884" customWidth="1"/>
    <col min="3850" max="3850" width="16" style="884" customWidth="1"/>
    <col min="3851" max="3851" width="38.28515625" style="884" customWidth="1"/>
    <col min="3852" max="3852" width="12" style="884" customWidth="1"/>
    <col min="3853" max="3853" width="38.140625" style="884" customWidth="1"/>
    <col min="3854" max="3854" width="17.85546875" style="884" bestFit="1" customWidth="1"/>
    <col min="3855" max="3855" width="24.7109375" style="884" customWidth="1"/>
    <col min="3856" max="3856" width="36.42578125" style="884" customWidth="1"/>
    <col min="3857" max="3857" width="46.7109375" style="884" customWidth="1"/>
    <col min="3858" max="3858" width="43.7109375" style="884" customWidth="1"/>
    <col min="3859" max="3859" width="25.42578125" style="884" customWidth="1"/>
    <col min="3860" max="3860" width="12.42578125" style="884" customWidth="1"/>
    <col min="3861" max="3861" width="16.42578125" style="884" customWidth="1"/>
    <col min="3862" max="3862" width="13.42578125" style="884" customWidth="1"/>
    <col min="3863" max="3863" width="8.5703125" style="884" customWidth="1"/>
    <col min="3864" max="3867" width="11.42578125" style="884" customWidth="1"/>
    <col min="3868" max="3868" width="12.7109375" style="884" customWidth="1"/>
    <col min="3869" max="3869" width="11.85546875" style="884" customWidth="1"/>
    <col min="3870" max="3870" width="7.85546875" style="884" customWidth="1"/>
    <col min="3871" max="3871" width="7.5703125" style="884" customWidth="1"/>
    <col min="3872" max="3872" width="8.85546875" style="884" customWidth="1"/>
    <col min="3873" max="3873" width="8.140625" style="884" customWidth="1"/>
    <col min="3874" max="3874" width="7.85546875" style="884" customWidth="1"/>
    <col min="3875" max="3875" width="8.5703125" style="884" customWidth="1"/>
    <col min="3876" max="3876" width="8.28515625" style="884" customWidth="1"/>
    <col min="3877" max="3877" width="11.42578125" style="884" customWidth="1"/>
    <col min="3878" max="3878" width="18" style="884" customWidth="1"/>
    <col min="3879" max="3879" width="21.42578125" style="884" customWidth="1"/>
    <col min="3880" max="3880" width="27.85546875" style="884" customWidth="1"/>
    <col min="3881" max="4096" width="11.42578125" style="884"/>
    <col min="4097" max="4097" width="13.5703125" style="884" customWidth="1"/>
    <col min="4098" max="4098" width="19" style="884" customWidth="1"/>
    <col min="4099" max="4099" width="13.5703125" style="884" customWidth="1"/>
    <col min="4100" max="4100" width="19.7109375" style="884" customWidth="1"/>
    <col min="4101" max="4101" width="13.5703125" style="884" customWidth="1"/>
    <col min="4102" max="4103" width="14.7109375" style="884" customWidth="1"/>
    <col min="4104" max="4104" width="36.140625" style="884" customWidth="1"/>
    <col min="4105" max="4105" width="29.42578125" style="884" customWidth="1"/>
    <col min="4106" max="4106" width="16" style="884" customWidth="1"/>
    <col min="4107" max="4107" width="38.28515625" style="884" customWidth="1"/>
    <col min="4108" max="4108" width="12" style="884" customWidth="1"/>
    <col min="4109" max="4109" width="38.140625" style="884" customWidth="1"/>
    <col min="4110" max="4110" width="17.85546875" style="884" bestFit="1" customWidth="1"/>
    <col min="4111" max="4111" width="24.7109375" style="884" customWidth="1"/>
    <col min="4112" max="4112" width="36.42578125" style="884" customWidth="1"/>
    <col min="4113" max="4113" width="46.7109375" style="884" customWidth="1"/>
    <col min="4114" max="4114" width="43.7109375" style="884" customWidth="1"/>
    <col min="4115" max="4115" width="25.42578125" style="884" customWidth="1"/>
    <col min="4116" max="4116" width="12.42578125" style="884" customWidth="1"/>
    <col min="4117" max="4117" width="16.42578125" style="884" customWidth="1"/>
    <col min="4118" max="4118" width="13.42578125" style="884" customWidth="1"/>
    <col min="4119" max="4119" width="8.5703125" style="884" customWidth="1"/>
    <col min="4120" max="4123" width="11.42578125" style="884" customWidth="1"/>
    <col min="4124" max="4124" width="12.7109375" style="884" customWidth="1"/>
    <col min="4125" max="4125" width="11.85546875" style="884" customWidth="1"/>
    <col min="4126" max="4126" width="7.85546875" style="884" customWidth="1"/>
    <col min="4127" max="4127" width="7.5703125" style="884" customWidth="1"/>
    <col min="4128" max="4128" width="8.85546875" style="884" customWidth="1"/>
    <col min="4129" max="4129" width="8.140625" style="884" customWidth="1"/>
    <col min="4130" max="4130" width="7.85546875" style="884" customWidth="1"/>
    <col min="4131" max="4131" width="8.5703125" style="884" customWidth="1"/>
    <col min="4132" max="4132" width="8.28515625" style="884" customWidth="1"/>
    <col min="4133" max="4133" width="11.42578125" style="884" customWidth="1"/>
    <col min="4134" max="4134" width="18" style="884" customWidth="1"/>
    <col min="4135" max="4135" width="21.42578125" style="884" customWidth="1"/>
    <col min="4136" max="4136" width="27.85546875" style="884" customWidth="1"/>
    <col min="4137" max="4352" width="11.42578125" style="884"/>
    <col min="4353" max="4353" width="13.5703125" style="884" customWidth="1"/>
    <col min="4354" max="4354" width="19" style="884" customWidth="1"/>
    <col min="4355" max="4355" width="13.5703125" style="884" customWidth="1"/>
    <col min="4356" max="4356" width="19.7109375" style="884" customWidth="1"/>
    <col min="4357" max="4357" width="13.5703125" style="884" customWidth="1"/>
    <col min="4358" max="4359" width="14.7109375" style="884" customWidth="1"/>
    <col min="4360" max="4360" width="36.140625" style="884" customWidth="1"/>
    <col min="4361" max="4361" width="29.42578125" style="884" customWidth="1"/>
    <col min="4362" max="4362" width="16" style="884" customWidth="1"/>
    <col min="4363" max="4363" width="38.28515625" style="884" customWidth="1"/>
    <col min="4364" max="4364" width="12" style="884" customWidth="1"/>
    <col min="4365" max="4365" width="38.140625" style="884" customWidth="1"/>
    <col min="4366" max="4366" width="17.85546875" style="884" bestFit="1" customWidth="1"/>
    <col min="4367" max="4367" width="24.7109375" style="884" customWidth="1"/>
    <col min="4368" max="4368" width="36.42578125" style="884" customWidth="1"/>
    <col min="4369" max="4369" width="46.7109375" style="884" customWidth="1"/>
    <col min="4370" max="4370" width="43.7109375" style="884" customWidth="1"/>
    <col min="4371" max="4371" width="25.42578125" style="884" customWidth="1"/>
    <col min="4372" max="4372" width="12.42578125" style="884" customWidth="1"/>
    <col min="4373" max="4373" width="16.42578125" style="884" customWidth="1"/>
    <col min="4374" max="4374" width="13.42578125" style="884" customWidth="1"/>
    <col min="4375" max="4375" width="8.5703125" style="884" customWidth="1"/>
    <col min="4376" max="4379" width="11.42578125" style="884" customWidth="1"/>
    <col min="4380" max="4380" width="12.7109375" style="884" customWidth="1"/>
    <col min="4381" max="4381" width="11.85546875" style="884" customWidth="1"/>
    <col min="4382" max="4382" width="7.85546875" style="884" customWidth="1"/>
    <col min="4383" max="4383" width="7.5703125" style="884" customWidth="1"/>
    <col min="4384" max="4384" width="8.85546875" style="884" customWidth="1"/>
    <col min="4385" max="4385" width="8.140625" style="884" customWidth="1"/>
    <col min="4386" max="4386" width="7.85546875" style="884" customWidth="1"/>
    <col min="4387" max="4387" width="8.5703125" style="884" customWidth="1"/>
    <col min="4388" max="4388" width="8.28515625" style="884" customWidth="1"/>
    <col min="4389" max="4389" width="11.42578125" style="884" customWidth="1"/>
    <col min="4390" max="4390" width="18" style="884" customWidth="1"/>
    <col min="4391" max="4391" width="21.42578125" style="884" customWidth="1"/>
    <col min="4392" max="4392" width="27.85546875" style="884" customWidth="1"/>
    <col min="4393" max="4608" width="11.42578125" style="884"/>
    <col min="4609" max="4609" width="13.5703125" style="884" customWidth="1"/>
    <col min="4610" max="4610" width="19" style="884" customWidth="1"/>
    <col min="4611" max="4611" width="13.5703125" style="884" customWidth="1"/>
    <col min="4612" max="4612" width="19.7109375" style="884" customWidth="1"/>
    <col min="4613" max="4613" width="13.5703125" style="884" customWidth="1"/>
    <col min="4614" max="4615" width="14.7109375" style="884" customWidth="1"/>
    <col min="4616" max="4616" width="36.140625" style="884" customWidth="1"/>
    <col min="4617" max="4617" width="29.42578125" style="884" customWidth="1"/>
    <col min="4618" max="4618" width="16" style="884" customWidth="1"/>
    <col min="4619" max="4619" width="38.28515625" style="884" customWidth="1"/>
    <col min="4620" max="4620" width="12" style="884" customWidth="1"/>
    <col min="4621" max="4621" width="38.140625" style="884" customWidth="1"/>
    <col min="4622" max="4622" width="17.85546875" style="884" bestFit="1" customWidth="1"/>
    <col min="4623" max="4623" width="24.7109375" style="884" customWidth="1"/>
    <col min="4624" max="4624" width="36.42578125" style="884" customWidth="1"/>
    <col min="4625" max="4625" width="46.7109375" style="884" customWidth="1"/>
    <col min="4626" max="4626" width="43.7109375" style="884" customWidth="1"/>
    <col min="4627" max="4627" width="25.42578125" style="884" customWidth="1"/>
    <col min="4628" max="4628" width="12.42578125" style="884" customWidth="1"/>
    <col min="4629" max="4629" width="16.42578125" style="884" customWidth="1"/>
    <col min="4630" max="4630" width="13.42578125" style="884" customWidth="1"/>
    <col min="4631" max="4631" width="8.5703125" style="884" customWidth="1"/>
    <col min="4632" max="4635" width="11.42578125" style="884" customWidth="1"/>
    <col min="4636" max="4636" width="12.7109375" style="884" customWidth="1"/>
    <col min="4637" max="4637" width="11.85546875" style="884" customWidth="1"/>
    <col min="4638" max="4638" width="7.85546875" style="884" customWidth="1"/>
    <col min="4639" max="4639" width="7.5703125" style="884" customWidth="1"/>
    <col min="4640" max="4640" width="8.85546875" style="884" customWidth="1"/>
    <col min="4641" max="4641" width="8.140625" style="884" customWidth="1"/>
    <col min="4642" max="4642" width="7.85546875" style="884" customWidth="1"/>
    <col min="4643" max="4643" width="8.5703125" style="884" customWidth="1"/>
    <col min="4644" max="4644" width="8.28515625" style="884" customWidth="1"/>
    <col min="4645" max="4645" width="11.42578125" style="884" customWidth="1"/>
    <col min="4646" max="4646" width="18" style="884" customWidth="1"/>
    <col min="4647" max="4647" width="21.42578125" style="884" customWidth="1"/>
    <col min="4648" max="4648" width="27.85546875" style="884" customWidth="1"/>
    <col min="4649" max="4864" width="11.42578125" style="884"/>
    <col min="4865" max="4865" width="13.5703125" style="884" customWidth="1"/>
    <col min="4866" max="4866" width="19" style="884" customWidth="1"/>
    <col min="4867" max="4867" width="13.5703125" style="884" customWidth="1"/>
    <col min="4868" max="4868" width="19.7109375" style="884" customWidth="1"/>
    <col min="4869" max="4869" width="13.5703125" style="884" customWidth="1"/>
    <col min="4870" max="4871" width="14.7109375" style="884" customWidth="1"/>
    <col min="4872" max="4872" width="36.140625" style="884" customWidth="1"/>
    <col min="4873" max="4873" width="29.42578125" style="884" customWidth="1"/>
    <col min="4874" max="4874" width="16" style="884" customWidth="1"/>
    <col min="4875" max="4875" width="38.28515625" style="884" customWidth="1"/>
    <col min="4876" max="4876" width="12" style="884" customWidth="1"/>
    <col min="4877" max="4877" width="38.140625" style="884" customWidth="1"/>
    <col min="4878" max="4878" width="17.85546875" style="884" bestFit="1" customWidth="1"/>
    <col min="4879" max="4879" width="24.7109375" style="884" customWidth="1"/>
    <col min="4880" max="4880" width="36.42578125" style="884" customWidth="1"/>
    <col min="4881" max="4881" width="46.7109375" style="884" customWidth="1"/>
    <col min="4882" max="4882" width="43.7109375" style="884" customWidth="1"/>
    <col min="4883" max="4883" width="25.42578125" style="884" customWidth="1"/>
    <col min="4884" max="4884" width="12.42578125" style="884" customWidth="1"/>
    <col min="4885" max="4885" width="16.42578125" style="884" customWidth="1"/>
    <col min="4886" max="4886" width="13.42578125" style="884" customWidth="1"/>
    <col min="4887" max="4887" width="8.5703125" style="884" customWidth="1"/>
    <col min="4888" max="4891" width="11.42578125" style="884" customWidth="1"/>
    <col min="4892" max="4892" width="12.7109375" style="884" customWidth="1"/>
    <col min="4893" max="4893" width="11.85546875" style="884" customWidth="1"/>
    <col min="4894" max="4894" width="7.85546875" style="884" customWidth="1"/>
    <col min="4895" max="4895" width="7.5703125" style="884" customWidth="1"/>
    <col min="4896" max="4896" width="8.85546875" style="884" customWidth="1"/>
    <col min="4897" max="4897" width="8.140625" style="884" customWidth="1"/>
    <col min="4898" max="4898" width="7.85546875" style="884" customWidth="1"/>
    <col min="4899" max="4899" width="8.5703125" style="884" customWidth="1"/>
    <col min="4900" max="4900" width="8.28515625" style="884" customWidth="1"/>
    <col min="4901" max="4901" width="11.42578125" style="884" customWidth="1"/>
    <col min="4902" max="4902" width="18" style="884" customWidth="1"/>
    <col min="4903" max="4903" width="21.42578125" style="884" customWidth="1"/>
    <col min="4904" max="4904" width="27.85546875" style="884" customWidth="1"/>
    <col min="4905" max="5120" width="11.42578125" style="884"/>
    <col min="5121" max="5121" width="13.5703125" style="884" customWidth="1"/>
    <col min="5122" max="5122" width="19" style="884" customWidth="1"/>
    <col min="5123" max="5123" width="13.5703125" style="884" customWidth="1"/>
    <col min="5124" max="5124" width="19.7109375" style="884" customWidth="1"/>
    <col min="5125" max="5125" width="13.5703125" style="884" customWidth="1"/>
    <col min="5126" max="5127" width="14.7109375" style="884" customWidth="1"/>
    <col min="5128" max="5128" width="36.140625" style="884" customWidth="1"/>
    <col min="5129" max="5129" width="29.42578125" style="884" customWidth="1"/>
    <col min="5130" max="5130" width="16" style="884" customWidth="1"/>
    <col min="5131" max="5131" width="38.28515625" style="884" customWidth="1"/>
    <col min="5132" max="5132" width="12" style="884" customWidth="1"/>
    <col min="5133" max="5133" width="38.140625" style="884" customWidth="1"/>
    <col min="5134" max="5134" width="17.85546875" style="884" bestFit="1" customWidth="1"/>
    <col min="5135" max="5135" width="24.7109375" style="884" customWidth="1"/>
    <col min="5136" max="5136" width="36.42578125" style="884" customWidth="1"/>
    <col min="5137" max="5137" width="46.7109375" style="884" customWidth="1"/>
    <col min="5138" max="5138" width="43.7109375" style="884" customWidth="1"/>
    <col min="5139" max="5139" width="25.42578125" style="884" customWidth="1"/>
    <col min="5140" max="5140" width="12.42578125" style="884" customWidth="1"/>
    <col min="5141" max="5141" width="16.42578125" style="884" customWidth="1"/>
    <col min="5142" max="5142" width="13.42578125" style="884" customWidth="1"/>
    <col min="5143" max="5143" width="8.5703125" style="884" customWidth="1"/>
    <col min="5144" max="5147" width="11.42578125" style="884" customWidth="1"/>
    <col min="5148" max="5148" width="12.7109375" style="884" customWidth="1"/>
    <col min="5149" max="5149" width="11.85546875" style="884" customWidth="1"/>
    <col min="5150" max="5150" width="7.85546875" style="884" customWidth="1"/>
    <col min="5151" max="5151" width="7.5703125" style="884" customWidth="1"/>
    <col min="5152" max="5152" width="8.85546875" style="884" customWidth="1"/>
    <col min="5153" max="5153" width="8.140625" style="884" customWidth="1"/>
    <col min="5154" max="5154" width="7.85546875" style="884" customWidth="1"/>
    <col min="5155" max="5155" width="8.5703125" style="884" customWidth="1"/>
    <col min="5156" max="5156" width="8.28515625" style="884" customWidth="1"/>
    <col min="5157" max="5157" width="11.42578125" style="884" customWidth="1"/>
    <col min="5158" max="5158" width="18" style="884" customWidth="1"/>
    <col min="5159" max="5159" width="21.42578125" style="884" customWidth="1"/>
    <col min="5160" max="5160" width="27.85546875" style="884" customWidth="1"/>
    <col min="5161" max="5376" width="11.42578125" style="884"/>
    <col min="5377" max="5377" width="13.5703125" style="884" customWidth="1"/>
    <col min="5378" max="5378" width="19" style="884" customWidth="1"/>
    <col min="5379" max="5379" width="13.5703125" style="884" customWidth="1"/>
    <col min="5380" max="5380" width="19.7109375" style="884" customWidth="1"/>
    <col min="5381" max="5381" width="13.5703125" style="884" customWidth="1"/>
    <col min="5382" max="5383" width="14.7109375" style="884" customWidth="1"/>
    <col min="5384" max="5384" width="36.140625" style="884" customWidth="1"/>
    <col min="5385" max="5385" width="29.42578125" style="884" customWidth="1"/>
    <col min="5386" max="5386" width="16" style="884" customWidth="1"/>
    <col min="5387" max="5387" width="38.28515625" style="884" customWidth="1"/>
    <col min="5388" max="5388" width="12" style="884" customWidth="1"/>
    <col min="5389" max="5389" width="38.140625" style="884" customWidth="1"/>
    <col min="5390" max="5390" width="17.85546875" style="884" bestFit="1" customWidth="1"/>
    <col min="5391" max="5391" width="24.7109375" style="884" customWidth="1"/>
    <col min="5392" max="5392" width="36.42578125" style="884" customWidth="1"/>
    <col min="5393" max="5393" width="46.7109375" style="884" customWidth="1"/>
    <col min="5394" max="5394" width="43.7109375" style="884" customWidth="1"/>
    <col min="5395" max="5395" width="25.42578125" style="884" customWidth="1"/>
    <col min="5396" max="5396" width="12.42578125" style="884" customWidth="1"/>
    <col min="5397" max="5397" width="16.42578125" style="884" customWidth="1"/>
    <col min="5398" max="5398" width="13.42578125" style="884" customWidth="1"/>
    <col min="5399" max="5399" width="8.5703125" style="884" customWidth="1"/>
    <col min="5400" max="5403" width="11.42578125" style="884" customWidth="1"/>
    <col min="5404" max="5404" width="12.7109375" style="884" customWidth="1"/>
    <col min="5405" max="5405" width="11.85546875" style="884" customWidth="1"/>
    <col min="5406" max="5406" width="7.85546875" style="884" customWidth="1"/>
    <col min="5407" max="5407" width="7.5703125" style="884" customWidth="1"/>
    <col min="5408" max="5408" width="8.85546875" style="884" customWidth="1"/>
    <col min="5409" max="5409" width="8.140625" style="884" customWidth="1"/>
    <col min="5410" max="5410" width="7.85546875" style="884" customWidth="1"/>
    <col min="5411" max="5411" width="8.5703125" style="884" customWidth="1"/>
    <col min="5412" max="5412" width="8.28515625" style="884" customWidth="1"/>
    <col min="5413" max="5413" width="11.42578125" style="884" customWidth="1"/>
    <col min="5414" max="5414" width="18" style="884" customWidth="1"/>
    <col min="5415" max="5415" width="21.42578125" style="884" customWidth="1"/>
    <col min="5416" max="5416" width="27.85546875" style="884" customWidth="1"/>
    <col min="5417" max="5632" width="11.42578125" style="884"/>
    <col min="5633" max="5633" width="13.5703125" style="884" customWidth="1"/>
    <col min="5634" max="5634" width="19" style="884" customWidth="1"/>
    <col min="5635" max="5635" width="13.5703125" style="884" customWidth="1"/>
    <col min="5636" max="5636" width="19.7109375" style="884" customWidth="1"/>
    <col min="5637" max="5637" width="13.5703125" style="884" customWidth="1"/>
    <col min="5638" max="5639" width="14.7109375" style="884" customWidth="1"/>
    <col min="5640" max="5640" width="36.140625" style="884" customWidth="1"/>
    <col min="5641" max="5641" width="29.42578125" style="884" customWidth="1"/>
    <col min="5642" max="5642" width="16" style="884" customWidth="1"/>
    <col min="5643" max="5643" width="38.28515625" style="884" customWidth="1"/>
    <col min="5644" max="5644" width="12" style="884" customWidth="1"/>
    <col min="5645" max="5645" width="38.140625" style="884" customWidth="1"/>
    <col min="5646" max="5646" width="17.85546875" style="884" bestFit="1" customWidth="1"/>
    <col min="5647" max="5647" width="24.7109375" style="884" customWidth="1"/>
    <col min="5648" max="5648" width="36.42578125" style="884" customWidth="1"/>
    <col min="5649" max="5649" width="46.7109375" style="884" customWidth="1"/>
    <col min="5650" max="5650" width="43.7109375" style="884" customWidth="1"/>
    <col min="5651" max="5651" width="25.42578125" style="884" customWidth="1"/>
    <col min="5652" max="5652" width="12.42578125" style="884" customWidth="1"/>
    <col min="5653" max="5653" width="16.42578125" style="884" customWidth="1"/>
    <col min="5654" max="5654" width="13.42578125" style="884" customWidth="1"/>
    <col min="5655" max="5655" width="8.5703125" style="884" customWidth="1"/>
    <col min="5656" max="5659" width="11.42578125" style="884" customWidth="1"/>
    <col min="5660" max="5660" width="12.7109375" style="884" customWidth="1"/>
    <col min="5661" max="5661" width="11.85546875" style="884" customWidth="1"/>
    <col min="5662" max="5662" width="7.85546875" style="884" customWidth="1"/>
    <col min="5663" max="5663" width="7.5703125" style="884" customWidth="1"/>
    <col min="5664" max="5664" width="8.85546875" style="884" customWidth="1"/>
    <col min="5665" max="5665" width="8.140625" style="884" customWidth="1"/>
    <col min="5666" max="5666" width="7.85546875" style="884" customWidth="1"/>
    <col min="5667" max="5667" width="8.5703125" style="884" customWidth="1"/>
    <col min="5668" max="5668" width="8.28515625" style="884" customWidth="1"/>
    <col min="5669" max="5669" width="11.42578125" style="884" customWidth="1"/>
    <col min="5670" max="5670" width="18" style="884" customWidth="1"/>
    <col min="5671" max="5671" width="21.42578125" style="884" customWidth="1"/>
    <col min="5672" max="5672" width="27.85546875" style="884" customWidth="1"/>
    <col min="5673" max="5888" width="11.42578125" style="884"/>
    <col min="5889" max="5889" width="13.5703125" style="884" customWidth="1"/>
    <col min="5890" max="5890" width="19" style="884" customWidth="1"/>
    <col min="5891" max="5891" width="13.5703125" style="884" customWidth="1"/>
    <col min="5892" max="5892" width="19.7109375" style="884" customWidth="1"/>
    <col min="5893" max="5893" width="13.5703125" style="884" customWidth="1"/>
    <col min="5894" max="5895" width="14.7109375" style="884" customWidth="1"/>
    <col min="5896" max="5896" width="36.140625" style="884" customWidth="1"/>
    <col min="5897" max="5897" width="29.42578125" style="884" customWidth="1"/>
    <col min="5898" max="5898" width="16" style="884" customWidth="1"/>
    <col min="5899" max="5899" width="38.28515625" style="884" customWidth="1"/>
    <col min="5900" max="5900" width="12" style="884" customWidth="1"/>
    <col min="5901" max="5901" width="38.140625" style="884" customWidth="1"/>
    <col min="5902" max="5902" width="17.85546875" style="884" bestFit="1" customWidth="1"/>
    <col min="5903" max="5903" width="24.7109375" style="884" customWidth="1"/>
    <col min="5904" max="5904" width="36.42578125" style="884" customWidth="1"/>
    <col min="5905" max="5905" width="46.7109375" style="884" customWidth="1"/>
    <col min="5906" max="5906" width="43.7109375" style="884" customWidth="1"/>
    <col min="5907" max="5907" width="25.42578125" style="884" customWidth="1"/>
    <col min="5908" max="5908" width="12.42578125" style="884" customWidth="1"/>
    <col min="5909" max="5909" width="16.42578125" style="884" customWidth="1"/>
    <col min="5910" max="5910" width="13.42578125" style="884" customWidth="1"/>
    <col min="5911" max="5911" width="8.5703125" style="884" customWidth="1"/>
    <col min="5912" max="5915" width="11.42578125" style="884" customWidth="1"/>
    <col min="5916" max="5916" width="12.7109375" style="884" customWidth="1"/>
    <col min="5917" max="5917" width="11.85546875" style="884" customWidth="1"/>
    <col min="5918" max="5918" width="7.85546875" style="884" customWidth="1"/>
    <col min="5919" max="5919" width="7.5703125" style="884" customWidth="1"/>
    <col min="5920" max="5920" width="8.85546875" style="884" customWidth="1"/>
    <col min="5921" max="5921" width="8.140625" style="884" customWidth="1"/>
    <col min="5922" max="5922" width="7.85546875" style="884" customWidth="1"/>
    <col min="5923" max="5923" width="8.5703125" style="884" customWidth="1"/>
    <col min="5924" max="5924" width="8.28515625" style="884" customWidth="1"/>
    <col min="5925" max="5925" width="11.42578125" style="884" customWidth="1"/>
    <col min="5926" max="5926" width="18" style="884" customWidth="1"/>
    <col min="5927" max="5927" width="21.42578125" style="884" customWidth="1"/>
    <col min="5928" max="5928" width="27.85546875" style="884" customWidth="1"/>
    <col min="5929" max="6144" width="11.42578125" style="884"/>
    <col min="6145" max="6145" width="13.5703125" style="884" customWidth="1"/>
    <col min="6146" max="6146" width="19" style="884" customWidth="1"/>
    <col min="6147" max="6147" width="13.5703125" style="884" customWidth="1"/>
    <col min="6148" max="6148" width="19.7109375" style="884" customWidth="1"/>
    <col min="6149" max="6149" width="13.5703125" style="884" customWidth="1"/>
    <col min="6150" max="6151" width="14.7109375" style="884" customWidth="1"/>
    <col min="6152" max="6152" width="36.140625" style="884" customWidth="1"/>
    <col min="6153" max="6153" width="29.42578125" style="884" customWidth="1"/>
    <col min="6154" max="6154" width="16" style="884" customWidth="1"/>
    <col min="6155" max="6155" width="38.28515625" style="884" customWidth="1"/>
    <col min="6156" max="6156" width="12" style="884" customWidth="1"/>
    <col min="6157" max="6157" width="38.140625" style="884" customWidth="1"/>
    <col min="6158" max="6158" width="17.85546875" style="884" bestFit="1" customWidth="1"/>
    <col min="6159" max="6159" width="24.7109375" style="884" customWidth="1"/>
    <col min="6160" max="6160" width="36.42578125" style="884" customWidth="1"/>
    <col min="6161" max="6161" width="46.7109375" style="884" customWidth="1"/>
    <col min="6162" max="6162" width="43.7109375" style="884" customWidth="1"/>
    <col min="6163" max="6163" width="25.42578125" style="884" customWidth="1"/>
    <col min="6164" max="6164" width="12.42578125" style="884" customWidth="1"/>
    <col min="6165" max="6165" width="16.42578125" style="884" customWidth="1"/>
    <col min="6166" max="6166" width="13.42578125" style="884" customWidth="1"/>
    <col min="6167" max="6167" width="8.5703125" style="884" customWidth="1"/>
    <col min="6168" max="6171" width="11.42578125" style="884" customWidth="1"/>
    <col min="6172" max="6172" width="12.7109375" style="884" customWidth="1"/>
    <col min="6173" max="6173" width="11.85546875" style="884" customWidth="1"/>
    <col min="6174" max="6174" width="7.85546875" style="884" customWidth="1"/>
    <col min="6175" max="6175" width="7.5703125" style="884" customWidth="1"/>
    <col min="6176" max="6176" width="8.85546875" style="884" customWidth="1"/>
    <col min="6177" max="6177" width="8.140625" style="884" customWidth="1"/>
    <col min="6178" max="6178" width="7.85546875" style="884" customWidth="1"/>
    <col min="6179" max="6179" width="8.5703125" style="884" customWidth="1"/>
    <col min="6180" max="6180" width="8.28515625" style="884" customWidth="1"/>
    <col min="6181" max="6181" width="11.42578125" style="884" customWidth="1"/>
    <col min="6182" max="6182" width="18" style="884" customWidth="1"/>
    <col min="6183" max="6183" width="21.42578125" style="884" customWidth="1"/>
    <col min="6184" max="6184" width="27.85546875" style="884" customWidth="1"/>
    <col min="6185" max="6400" width="11.42578125" style="884"/>
    <col min="6401" max="6401" width="13.5703125" style="884" customWidth="1"/>
    <col min="6402" max="6402" width="19" style="884" customWidth="1"/>
    <col min="6403" max="6403" width="13.5703125" style="884" customWidth="1"/>
    <col min="6404" max="6404" width="19.7109375" style="884" customWidth="1"/>
    <col min="6405" max="6405" width="13.5703125" style="884" customWidth="1"/>
    <col min="6406" max="6407" width="14.7109375" style="884" customWidth="1"/>
    <col min="6408" max="6408" width="36.140625" style="884" customWidth="1"/>
    <col min="6409" max="6409" width="29.42578125" style="884" customWidth="1"/>
    <col min="6410" max="6410" width="16" style="884" customWidth="1"/>
    <col min="6411" max="6411" width="38.28515625" style="884" customWidth="1"/>
    <col min="6412" max="6412" width="12" style="884" customWidth="1"/>
    <col min="6413" max="6413" width="38.140625" style="884" customWidth="1"/>
    <col min="6414" max="6414" width="17.85546875" style="884" bestFit="1" customWidth="1"/>
    <col min="6415" max="6415" width="24.7109375" style="884" customWidth="1"/>
    <col min="6416" max="6416" width="36.42578125" style="884" customWidth="1"/>
    <col min="6417" max="6417" width="46.7109375" style="884" customWidth="1"/>
    <col min="6418" max="6418" width="43.7109375" style="884" customWidth="1"/>
    <col min="6419" max="6419" width="25.42578125" style="884" customWidth="1"/>
    <col min="6420" max="6420" width="12.42578125" style="884" customWidth="1"/>
    <col min="6421" max="6421" width="16.42578125" style="884" customWidth="1"/>
    <col min="6422" max="6422" width="13.42578125" style="884" customWidth="1"/>
    <col min="6423" max="6423" width="8.5703125" style="884" customWidth="1"/>
    <col min="6424" max="6427" width="11.42578125" style="884" customWidth="1"/>
    <col min="6428" max="6428" width="12.7109375" style="884" customWidth="1"/>
    <col min="6429" max="6429" width="11.85546875" style="884" customWidth="1"/>
    <col min="6430" max="6430" width="7.85546875" style="884" customWidth="1"/>
    <col min="6431" max="6431" width="7.5703125" style="884" customWidth="1"/>
    <col min="6432" max="6432" width="8.85546875" style="884" customWidth="1"/>
    <col min="6433" max="6433" width="8.140625" style="884" customWidth="1"/>
    <col min="6434" max="6434" width="7.85546875" style="884" customWidth="1"/>
    <col min="6435" max="6435" width="8.5703125" style="884" customWidth="1"/>
    <col min="6436" max="6436" width="8.28515625" style="884" customWidth="1"/>
    <col min="6437" max="6437" width="11.42578125" style="884" customWidth="1"/>
    <col min="6438" max="6438" width="18" style="884" customWidth="1"/>
    <col min="6439" max="6439" width="21.42578125" style="884" customWidth="1"/>
    <col min="6440" max="6440" width="27.85546875" style="884" customWidth="1"/>
    <col min="6441" max="6656" width="11.42578125" style="884"/>
    <col min="6657" max="6657" width="13.5703125" style="884" customWidth="1"/>
    <col min="6658" max="6658" width="19" style="884" customWidth="1"/>
    <col min="6659" max="6659" width="13.5703125" style="884" customWidth="1"/>
    <col min="6660" max="6660" width="19.7109375" style="884" customWidth="1"/>
    <col min="6661" max="6661" width="13.5703125" style="884" customWidth="1"/>
    <col min="6662" max="6663" width="14.7109375" style="884" customWidth="1"/>
    <col min="6664" max="6664" width="36.140625" style="884" customWidth="1"/>
    <col min="6665" max="6665" width="29.42578125" style="884" customWidth="1"/>
    <col min="6666" max="6666" width="16" style="884" customWidth="1"/>
    <col min="6667" max="6667" width="38.28515625" style="884" customWidth="1"/>
    <col min="6668" max="6668" width="12" style="884" customWidth="1"/>
    <col min="6669" max="6669" width="38.140625" style="884" customWidth="1"/>
    <col min="6670" max="6670" width="17.85546875" style="884" bestFit="1" customWidth="1"/>
    <col min="6671" max="6671" width="24.7109375" style="884" customWidth="1"/>
    <col min="6672" max="6672" width="36.42578125" style="884" customWidth="1"/>
    <col min="6673" max="6673" width="46.7109375" style="884" customWidth="1"/>
    <col min="6674" max="6674" width="43.7109375" style="884" customWidth="1"/>
    <col min="6675" max="6675" width="25.42578125" style="884" customWidth="1"/>
    <col min="6676" max="6676" width="12.42578125" style="884" customWidth="1"/>
    <col min="6677" max="6677" width="16.42578125" style="884" customWidth="1"/>
    <col min="6678" max="6678" width="13.42578125" style="884" customWidth="1"/>
    <col min="6679" max="6679" width="8.5703125" style="884" customWidth="1"/>
    <col min="6680" max="6683" width="11.42578125" style="884" customWidth="1"/>
    <col min="6684" max="6684" width="12.7109375" style="884" customWidth="1"/>
    <col min="6685" max="6685" width="11.85546875" style="884" customWidth="1"/>
    <col min="6686" max="6686" width="7.85546875" style="884" customWidth="1"/>
    <col min="6687" max="6687" width="7.5703125" style="884" customWidth="1"/>
    <col min="6688" max="6688" width="8.85546875" style="884" customWidth="1"/>
    <col min="6689" max="6689" width="8.140625" style="884" customWidth="1"/>
    <col min="6690" max="6690" width="7.85546875" style="884" customWidth="1"/>
    <col min="6691" max="6691" width="8.5703125" style="884" customWidth="1"/>
    <col min="6692" max="6692" width="8.28515625" style="884" customWidth="1"/>
    <col min="6693" max="6693" width="11.42578125" style="884" customWidth="1"/>
    <col min="6694" max="6694" width="18" style="884" customWidth="1"/>
    <col min="6695" max="6695" width="21.42578125" style="884" customWidth="1"/>
    <col min="6696" max="6696" width="27.85546875" style="884" customWidth="1"/>
    <col min="6697" max="6912" width="11.42578125" style="884"/>
    <col min="6913" max="6913" width="13.5703125" style="884" customWidth="1"/>
    <col min="6914" max="6914" width="19" style="884" customWidth="1"/>
    <col min="6915" max="6915" width="13.5703125" style="884" customWidth="1"/>
    <col min="6916" max="6916" width="19.7109375" style="884" customWidth="1"/>
    <col min="6917" max="6917" width="13.5703125" style="884" customWidth="1"/>
    <col min="6918" max="6919" width="14.7109375" style="884" customWidth="1"/>
    <col min="6920" max="6920" width="36.140625" style="884" customWidth="1"/>
    <col min="6921" max="6921" width="29.42578125" style="884" customWidth="1"/>
    <col min="6922" max="6922" width="16" style="884" customWidth="1"/>
    <col min="6923" max="6923" width="38.28515625" style="884" customWidth="1"/>
    <col min="6924" max="6924" width="12" style="884" customWidth="1"/>
    <col min="6925" max="6925" width="38.140625" style="884" customWidth="1"/>
    <col min="6926" max="6926" width="17.85546875" style="884" bestFit="1" customWidth="1"/>
    <col min="6927" max="6927" width="24.7109375" style="884" customWidth="1"/>
    <col min="6928" max="6928" width="36.42578125" style="884" customWidth="1"/>
    <col min="6929" max="6929" width="46.7109375" style="884" customWidth="1"/>
    <col min="6930" max="6930" width="43.7109375" style="884" customWidth="1"/>
    <col min="6931" max="6931" width="25.42578125" style="884" customWidth="1"/>
    <col min="6932" max="6932" width="12.42578125" style="884" customWidth="1"/>
    <col min="6933" max="6933" width="16.42578125" style="884" customWidth="1"/>
    <col min="6934" max="6934" width="13.42578125" style="884" customWidth="1"/>
    <col min="6935" max="6935" width="8.5703125" style="884" customWidth="1"/>
    <col min="6936" max="6939" width="11.42578125" style="884" customWidth="1"/>
    <col min="6940" max="6940" width="12.7109375" style="884" customWidth="1"/>
    <col min="6941" max="6941" width="11.85546875" style="884" customWidth="1"/>
    <col min="6942" max="6942" width="7.85546875" style="884" customWidth="1"/>
    <col min="6943" max="6943" width="7.5703125" style="884" customWidth="1"/>
    <col min="6944" max="6944" width="8.85546875" style="884" customWidth="1"/>
    <col min="6945" max="6945" width="8.140625" style="884" customWidth="1"/>
    <col min="6946" max="6946" width="7.85546875" style="884" customWidth="1"/>
    <col min="6947" max="6947" width="8.5703125" style="884" customWidth="1"/>
    <col min="6948" max="6948" width="8.28515625" style="884" customWidth="1"/>
    <col min="6949" max="6949" width="11.42578125" style="884" customWidth="1"/>
    <col min="6950" max="6950" width="18" style="884" customWidth="1"/>
    <col min="6951" max="6951" width="21.42578125" style="884" customWidth="1"/>
    <col min="6952" max="6952" width="27.85546875" style="884" customWidth="1"/>
    <col min="6953" max="7168" width="11.42578125" style="884"/>
    <col min="7169" max="7169" width="13.5703125" style="884" customWidth="1"/>
    <col min="7170" max="7170" width="19" style="884" customWidth="1"/>
    <col min="7171" max="7171" width="13.5703125" style="884" customWidth="1"/>
    <col min="7172" max="7172" width="19.7109375" style="884" customWidth="1"/>
    <col min="7173" max="7173" width="13.5703125" style="884" customWidth="1"/>
    <col min="7174" max="7175" width="14.7109375" style="884" customWidth="1"/>
    <col min="7176" max="7176" width="36.140625" style="884" customWidth="1"/>
    <col min="7177" max="7177" width="29.42578125" style="884" customWidth="1"/>
    <col min="7178" max="7178" width="16" style="884" customWidth="1"/>
    <col min="7179" max="7179" width="38.28515625" style="884" customWidth="1"/>
    <col min="7180" max="7180" width="12" style="884" customWidth="1"/>
    <col min="7181" max="7181" width="38.140625" style="884" customWidth="1"/>
    <col min="7182" max="7182" width="17.85546875" style="884" bestFit="1" customWidth="1"/>
    <col min="7183" max="7183" width="24.7109375" style="884" customWidth="1"/>
    <col min="7184" max="7184" width="36.42578125" style="884" customWidth="1"/>
    <col min="7185" max="7185" width="46.7109375" style="884" customWidth="1"/>
    <col min="7186" max="7186" width="43.7109375" style="884" customWidth="1"/>
    <col min="7187" max="7187" width="25.42578125" style="884" customWidth="1"/>
    <col min="7188" max="7188" width="12.42578125" style="884" customWidth="1"/>
    <col min="7189" max="7189" width="16.42578125" style="884" customWidth="1"/>
    <col min="7190" max="7190" width="13.42578125" style="884" customWidth="1"/>
    <col min="7191" max="7191" width="8.5703125" style="884" customWidth="1"/>
    <col min="7192" max="7195" width="11.42578125" style="884" customWidth="1"/>
    <col min="7196" max="7196" width="12.7109375" style="884" customWidth="1"/>
    <col min="7197" max="7197" width="11.85546875" style="884" customWidth="1"/>
    <col min="7198" max="7198" width="7.85546875" style="884" customWidth="1"/>
    <col min="7199" max="7199" width="7.5703125" style="884" customWidth="1"/>
    <col min="7200" max="7200" width="8.85546875" style="884" customWidth="1"/>
    <col min="7201" max="7201" width="8.140625" style="884" customWidth="1"/>
    <col min="7202" max="7202" width="7.85546875" style="884" customWidth="1"/>
    <col min="7203" max="7203" width="8.5703125" style="884" customWidth="1"/>
    <col min="7204" max="7204" width="8.28515625" style="884" customWidth="1"/>
    <col min="7205" max="7205" width="11.42578125" style="884" customWidth="1"/>
    <col min="7206" max="7206" width="18" style="884" customWidth="1"/>
    <col min="7207" max="7207" width="21.42578125" style="884" customWidth="1"/>
    <col min="7208" max="7208" width="27.85546875" style="884" customWidth="1"/>
    <col min="7209" max="7424" width="11.42578125" style="884"/>
    <col min="7425" max="7425" width="13.5703125" style="884" customWidth="1"/>
    <col min="7426" max="7426" width="19" style="884" customWidth="1"/>
    <col min="7427" max="7427" width="13.5703125" style="884" customWidth="1"/>
    <col min="7428" max="7428" width="19.7109375" style="884" customWidth="1"/>
    <col min="7429" max="7429" width="13.5703125" style="884" customWidth="1"/>
    <col min="7430" max="7431" width="14.7109375" style="884" customWidth="1"/>
    <col min="7432" max="7432" width="36.140625" style="884" customWidth="1"/>
    <col min="7433" max="7433" width="29.42578125" style="884" customWidth="1"/>
    <col min="7434" max="7434" width="16" style="884" customWidth="1"/>
    <col min="7435" max="7435" width="38.28515625" style="884" customWidth="1"/>
    <col min="7436" max="7436" width="12" style="884" customWidth="1"/>
    <col min="7437" max="7437" width="38.140625" style="884" customWidth="1"/>
    <col min="7438" max="7438" width="17.85546875" style="884" bestFit="1" customWidth="1"/>
    <col min="7439" max="7439" width="24.7109375" style="884" customWidth="1"/>
    <col min="7440" max="7440" width="36.42578125" style="884" customWidth="1"/>
    <col min="7441" max="7441" width="46.7109375" style="884" customWidth="1"/>
    <col min="7442" max="7442" width="43.7109375" style="884" customWidth="1"/>
    <col min="7443" max="7443" width="25.42578125" style="884" customWidth="1"/>
    <col min="7444" max="7444" width="12.42578125" style="884" customWidth="1"/>
    <col min="7445" max="7445" width="16.42578125" style="884" customWidth="1"/>
    <col min="7446" max="7446" width="13.42578125" style="884" customWidth="1"/>
    <col min="7447" max="7447" width="8.5703125" style="884" customWidth="1"/>
    <col min="7448" max="7451" width="11.42578125" style="884" customWidth="1"/>
    <col min="7452" max="7452" width="12.7109375" style="884" customWidth="1"/>
    <col min="7453" max="7453" width="11.85546875" style="884" customWidth="1"/>
    <col min="7454" max="7454" width="7.85546875" style="884" customWidth="1"/>
    <col min="7455" max="7455" width="7.5703125" style="884" customWidth="1"/>
    <col min="7456" max="7456" width="8.85546875" style="884" customWidth="1"/>
    <col min="7457" max="7457" width="8.140625" style="884" customWidth="1"/>
    <col min="7458" max="7458" width="7.85546875" style="884" customWidth="1"/>
    <col min="7459" max="7459" width="8.5703125" style="884" customWidth="1"/>
    <col min="7460" max="7460" width="8.28515625" style="884" customWidth="1"/>
    <col min="7461" max="7461" width="11.42578125" style="884" customWidth="1"/>
    <col min="7462" max="7462" width="18" style="884" customWidth="1"/>
    <col min="7463" max="7463" width="21.42578125" style="884" customWidth="1"/>
    <col min="7464" max="7464" width="27.85546875" style="884" customWidth="1"/>
    <col min="7465" max="7680" width="11.42578125" style="884"/>
    <col min="7681" max="7681" width="13.5703125" style="884" customWidth="1"/>
    <col min="7682" max="7682" width="19" style="884" customWidth="1"/>
    <col min="7683" max="7683" width="13.5703125" style="884" customWidth="1"/>
    <col min="7684" max="7684" width="19.7109375" style="884" customWidth="1"/>
    <col min="7685" max="7685" width="13.5703125" style="884" customWidth="1"/>
    <col min="7686" max="7687" width="14.7109375" style="884" customWidth="1"/>
    <col min="7688" max="7688" width="36.140625" style="884" customWidth="1"/>
    <col min="7689" max="7689" width="29.42578125" style="884" customWidth="1"/>
    <col min="7690" max="7690" width="16" style="884" customWidth="1"/>
    <col min="7691" max="7691" width="38.28515625" style="884" customWidth="1"/>
    <col min="7692" max="7692" width="12" style="884" customWidth="1"/>
    <col min="7693" max="7693" width="38.140625" style="884" customWidth="1"/>
    <col min="7694" max="7694" width="17.85546875" style="884" bestFit="1" customWidth="1"/>
    <col min="7695" max="7695" width="24.7109375" style="884" customWidth="1"/>
    <col min="7696" max="7696" width="36.42578125" style="884" customWidth="1"/>
    <col min="7697" max="7697" width="46.7109375" style="884" customWidth="1"/>
    <col min="7698" max="7698" width="43.7109375" style="884" customWidth="1"/>
    <col min="7699" max="7699" width="25.42578125" style="884" customWidth="1"/>
    <col min="7700" max="7700" width="12.42578125" style="884" customWidth="1"/>
    <col min="7701" max="7701" width="16.42578125" style="884" customWidth="1"/>
    <col min="7702" max="7702" width="13.42578125" style="884" customWidth="1"/>
    <col min="7703" max="7703" width="8.5703125" style="884" customWidth="1"/>
    <col min="7704" max="7707" width="11.42578125" style="884" customWidth="1"/>
    <col min="7708" max="7708" width="12.7109375" style="884" customWidth="1"/>
    <col min="7709" max="7709" width="11.85546875" style="884" customWidth="1"/>
    <col min="7710" max="7710" width="7.85546875" style="884" customWidth="1"/>
    <col min="7711" max="7711" width="7.5703125" style="884" customWidth="1"/>
    <col min="7712" max="7712" width="8.85546875" style="884" customWidth="1"/>
    <col min="7713" max="7713" width="8.140625" style="884" customWidth="1"/>
    <col min="7714" max="7714" width="7.85546875" style="884" customWidth="1"/>
    <col min="7715" max="7715" width="8.5703125" style="884" customWidth="1"/>
    <col min="7716" max="7716" width="8.28515625" style="884" customWidth="1"/>
    <col min="7717" max="7717" width="11.42578125" style="884" customWidth="1"/>
    <col min="7718" max="7718" width="18" style="884" customWidth="1"/>
    <col min="7719" max="7719" width="21.42578125" style="884" customWidth="1"/>
    <col min="7720" max="7720" width="27.85546875" style="884" customWidth="1"/>
    <col min="7721" max="7936" width="11.42578125" style="884"/>
    <col min="7937" max="7937" width="13.5703125" style="884" customWidth="1"/>
    <col min="7938" max="7938" width="19" style="884" customWidth="1"/>
    <col min="7939" max="7939" width="13.5703125" style="884" customWidth="1"/>
    <col min="7940" max="7940" width="19.7109375" style="884" customWidth="1"/>
    <col min="7941" max="7941" width="13.5703125" style="884" customWidth="1"/>
    <col min="7942" max="7943" width="14.7109375" style="884" customWidth="1"/>
    <col min="7944" max="7944" width="36.140625" style="884" customWidth="1"/>
    <col min="7945" max="7945" width="29.42578125" style="884" customWidth="1"/>
    <col min="7946" max="7946" width="16" style="884" customWidth="1"/>
    <col min="7947" max="7947" width="38.28515625" style="884" customWidth="1"/>
    <col min="7948" max="7948" width="12" style="884" customWidth="1"/>
    <col min="7949" max="7949" width="38.140625" style="884" customWidth="1"/>
    <col min="7950" max="7950" width="17.85546875" style="884" bestFit="1" customWidth="1"/>
    <col min="7951" max="7951" width="24.7109375" style="884" customWidth="1"/>
    <col min="7952" max="7952" width="36.42578125" style="884" customWidth="1"/>
    <col min="7953" max="7953" width="46.7109375" style="884" customWidth="1"/>
    <col min="7954" max="7954" width="43.7109375" style="884" customWidth="1"/>
    <col min="7955" max="7955" width="25.42578125" style="884" customWidth="1"/>
    <col min="7956" max="7956" width="12.42578125" style="884" customWidth="1"/>
    <col min="7957" max="7957" width="16.42578125" style="884" customWidth="1"/>
    <col min="7958" max="7958" width="13.42578125" style="884" customWidth="1"/>
    <col min="7959" max="7959" width="8.5703125" style="884" customWidth="1"/>
    <col min="7960" max="7963" width="11.42578125" style="884" customWidth="1"/>
    <col min="7964" max="7964" width="12.7109375" style="884" customWidth="1"/>
    <col min="7965" max="7965" width="11.85546875" style="884" customWidth="1"/>
    <col min="7966" max="7966" width="7.85546875" style="884" customWidth="1"/>
    <col min="7967" max="7967" width="7.5703125" style="884" customWidth="1"/>
    <col min="7968" max="7968" width="8.85546875" style="884" customWidth="1"/>
    <col min="7969" max="7969" width="8.140625" style="884" customWidth="1"/>
    <col min="7970" max="7970" width="7.85546875" style="884" customWidth="1"/>
    <col min="7971" max="7971" width="8.5703125" style="884" customWidth="1"/>
    <col min="7972" max="7972" width="8.28515625" style="884" customWidth="1"/>
    <col min="7973" max="7973" width="11.42578125" style="884" customWidth="1"/>
    <col min="7974" max="7974" width="18" style="884" customWidth="1"/>
    <col min="7975" max="7975" width="21.42578125" style="884" customWidth="1"/>
    <col min="7976" max="7976" width="27.85546875" style="884" customWidth="1"/>
    <col min="7977" max="8192" width="11.42578125" style="884"/>
    <col min="8193" max="8193" width="13.5703125" style="884" customWidth="1"/>
    <col min="8194" max="8194" width="19" style="884" customWidth="1"/>
    <col min="8195" max="8195" width="13.5703125" style="884" customWidth="1"/>
    <col min="8196" max="8196" width="19.7109375" style="884" customWidth="1"/>
    <col min="8197" max="8197" width="13.5703125" style="884" customWidth="1"/>
    <col min="8198" max="8199" width="14.7109375" style="884" customWidth="1"/>
    <col min="8200" max="8200" width="36.140625" style="884" customWidth="1"/>
    <col min="8201" max="8201" width="29.42578125" style="884" customWidth="1"/>
    <col min="8202" max="8202" width="16" style="884" customWidth="1"/>
    <col min="8203" max="8203" width="38.28515625" style="884" customWidth="1"/>
    <col min="8204" max="8204" width="12" style="884" customWidth="1"/>
    <col min="8205" max="8205" width="38.140625" style="884" customWidth="1"/>
    <col min="8206" max="8206" width="17.85546875" style="884" bestFit="1" customWidth="1"/>
    <col min="8207" max="8207" width="24.7109375" style="884" customWidth="1"/>
    <col min="8208" max="8208" width="36.42578125" style="884" customWidth="1"/>
    <col min="8209" max="8209" width="46.7109375" style="884" customWidth="1"/>
    <col min="8210" max="8210" width="43.7109375" style="884" customWidth="1"/>
    <col min="8211" max="8211" width="25.42578125" style="884" customWidth="1"/>
    <col min="8212" max="8212" width="12.42578125" style="884" customWidth="1"/>
    <col min="8213" max="8213" width="16.42578125" style="884" customWidth="1"/>
    <col min="8214" max="8214" width="13.42578125" style="884" customWidth="1"/>
    <col min="8215" max="8215" width="8.5703125" style="884" customWidth="1"/>
    <col min="8216" max="8219" width="11.42578125" style="884" customWidth="1"/>
    <col min="8220" max="8220" width="12.7109375" style="884" customWidth="1"/>
    <col min="8221" max="8221" width="11.85546875" style="884" customWidth="1"/>
    <col min="8222" max="8222" width="7.85546875" style="884" customWidth="1"/>
    <col min="8223" max="8223" width="7.5703125" style="884" customWidth="1"/>
    <col min="8224" max="8224" width="8.85546875" style="884" customWidth="1"/>
    <col min="8225" max="8225" width="8.140625" style="884" customWidth="1"/>
    <col min="8226" max="8226" width="7.85546875" style="884" customWidth="1"/>
    <col min="8227" max="8227" width="8.5703125" style="884" customWidth="1"/>
    <col min="8228" max="8228" width="8.28515625" style="884" customWidth="1"/>
    <col min="8229" max="8229" width="11.42578125" style="884" customWidth="1"/>
    <col min="8230" max="8230" width="18" style="884" customWidth="1"/>
    <col min="8231" max="8231" width="21.42578125" style="884" customWidth="1"/>
    <col min="8232" max="8232" width="27.85546875" style="884" customWidth="1"/>
    <col min="8233" max="8448" width="11.42578125" style="884"/>
    <col min="8449" max="8449" width="13.5703125" style="884" customWidth="1"/>
    <col min="8450" max="8450" width="19" style="884" customWidth="1"/>
    <col min="8451" max="8451" width="13.5703125" style="884" customWidth="1"/>
    <col min="8452" max="8452" width="19.7109375" style="884" customWidth="1"/>
    <col min="8453" max="8453" width="13.5703125" style="884" customWidth="1"/>
    <col min="8454" max="8455" width="14.7109375" style="884" customWidth="1"/>
    <col min="8456" max="8456" width="36.140625" style="884" customWidth="1"/>
    <col min="8457" max="8457" width="29.42578125" style="884" customWidth="1"/>
    <col min="8458" max="8458" width="16" style="884" customWidth="1"/>
    <col min="8459" max="8459" width="38.28515625" style="884" customWidth="1"/>
    <col min="8460" max="8460" width="12" style="884" customWidth="1"/>
    <col min="8461" max="8461" width="38.140625" style="884" customWidth="1"/>
    <col min="8462" max="8462" width="17.85546875" style="884" bestFit="1" customWidth="1"/>
    <col min="8463" max="8463" width="24.7109375" style="884" customWidth="1"/>
    <col min="8464" max="8464" width="36.42578125" style="884" customWidth="1"/>
    <col min="8465" max="8465" width="46.7109375" style="884" customWidth="1"/>
    <col min="8466" max="8466" width="43.7109375" style="884" customWidth="1"/>
    <col min="8467" max="8467" width="25.42578125" style="884" customWidth="1"/>
    <col min="8468" max="8468" width="12.42578125" style="884" customWidth="1"/>
    <col min="8469" max="8469" width="16.42578125" style="884" customWidth="1"/>
    <col min="8470" max="8470" width="13.42578125" style="884" customWidth="1"/>
    <col min="8471" max="8471" width="8.5703125" style="884" customWidth="1"/>
    <col min="8472" max="8475" width="11.42578125" style="884" customWidth="1"/>
    <col min="8476" max="8476" width="12.7109375" style="884" customWidth="1"/>
    <col min="8477" max="8477" width="11.85546875" style="884" customWidth="1"/>
    <col min="8478" max="8478" width="7.85546875" style="884" customWidth="1"/>
    <col min="8479" max="8479" width="7.5703125" style="884" customWidth="1"/>
    <col min="8480" max="8480" width="8.85546875" style="884" customWidth="1"/>
    <col min="8481" max="8481" width="8.140625" style="884" customWidth="1"/>
    <col min="8482" max="8482" width="7.85546875" style="884" customWidth="1"/>
    <col min="8483" max="8483" width="8.5703125" style="884" customWidth="1"/>
    <col min="8484" max="8484" width="8.28515625" style="884" customWidth="1"/>
    <col min="8485" max="8485" width="11.42578125" style="884" customWidth="1"/>
    <col min="8486" max="8486" width="18" style="884" customWidth="1"/>
    <col min="8487" max="8487" width="21.42578125" style="884" customWidth="1"/>
    <col min="8488" max="8488" width="27.85546875" style="884" customWidth="1"/>
    <col min="8489" max="8704" width="11.42578125" style="884"/>
    <col min="8705" max="8705" width="13.5703125" style="884" customWidth="1"/>
    <col min="8706" max="8706" width="19" style="884" customWidth="1"/>
    <col min="8707" max="8707" width="13.5703125" style="884" customWidth="1"/>
    <col min="8708" max="8708" width="19.7109375" style="884" customWidth="1"/>
    <col min="8709" max="8709" width="13.5703125" style="884" customWidth="1"/>
    <col min="8710" max="8711" width="14.7109375" style="884" customWidth="1"/>
    <col min="8712" max="8712" width="36.140625" style="884" customWidth="1"/>
    <col min="8713" max="8713" width="29.42578125" style="884" customWidth="1"/>
    <col min="8714" max="8714" width="16" style="884" customWidth="1"/>
    <col min="8715" max="8715" width="38.28515625" style="884" customWidth="1"/>
    <col min="8716" max="8716" width="12" style="884" customWidth="1"/>
    <col min="8717" max="8717" width="38.140625" style="884" customWidth="1"/>
    <col min="8718" max="8718" width="17.85546875" style="884" bestFit="1" customWidth="1"/>
    <col min="8719" max="8719" width="24.7109375" style="884" customWidth="1"/>
    <col min="8720" max="8720" width="36.42578125" style="884" customWidth="1"/>
    <col min="8721" max="8721" width="46.7109375" style="884" customWidth="1"/>
    <col min="8722" max="8722" width="43.7109375" style="884" customWidth="1"/>
    <col min="8723" max="8723" width="25.42578125" style="884" customWidth="1"/>
    <col min="8724" max="8724" width="12.42578125" style="884" customWidth="1"/>
    <col min="8725" max="8725" width="16.42578125" style="884" customWidth="1"/>
    <col min="8726" max="8726" width="13.42578125" style="884" customWidth="1"/>
    <col min="8727" max="8727" width="8.5703125" style="884" customWidth="1"/>
    <col min="8728" max="8731" width="11.42578125" style="884" customWidth="1"/>
    <col min="8732" max="8732" width="12.7109375" style="884" customWidth="1"/>
    <col min="8733" max="8733" width="11.85546875" style="884" customWidth="1"/>
    <col min="8734" max="8734" width="7.85546875" style="884" customWidth="1"/>
    <col min="8735" max="8735" width="7.5703125" style="884" customWidth="1"/>
    <col min="8736" max="8736" width="8.85546875" style="884" customWidth="1"/>
    <col min="8737" max="8737" width="8.140625" style="884" customWidth="1"/>
    <col min="8738" max="8738" width="7.85546875" style="884" customWidth="1"/>
    <col min="8739" max="8739" width="8.5703125" style="884" customWidth="1"/>
    <col min="8740" max="8740" width="8.28515625" style="884" customWidth="1"/>
    <col min="8741" max="8741" width="11.42578125" style="884" customWidth="1"/>
    <col min="8742" max="8742" width="18" style="884" customWidth="1"/>
    <col min="8743" max="8743" width="21.42578125" style="884" customWidth="1"/>
    <col min="8744" max="8744" width="27.85546875" style="884" customWidth="1"/>
    <col min="8745" max="8960" width="11.42578125" style="884"/>
    <col min="8961" max="8961" width="13.5703125" style="884" customWidth="1"/>
    <col min="8962" max="8962" width="19" style="884" customWidth="1"/>
    <col min="8963" max="8963" width="13.5703125" style="884" customWidth="1"/>
    <col min="8964" max="8964" width="19.7109375" style="884" customWidth="1"/>
    <col min="8965" max="8965" width="13.5703125" style="884" customWidth="1"/>
    <col min="8966" max="8967" width="14.7109375" style="884" customWidth="1"/>
    <col min="8968" max="8968" width="36.140625" style="884" customWidth="1"/>
    <col min="8969" max="8969" width="29.42578125" style="884" customWidth="1"/>
    <col min="8970" max="8970" width="16" style="884" customWidth="1"/>
    <col min="8971" max="8971" width="38.28515625" style="884" customWidth="1"/>
    <col min="8972" max="8972" width="12" style="884" customWidth="1"/>
    <col min="8973" max="8973" width="38.140625" style="884" customWidth="1"/>
    <col min="8974" max="8974" width="17.85546875" style="884" bestFit="1" customWidth="1"/>
    <col min="8975" max="8975" width="24.7109375" style="884" customWidth="1"/>
    <col min="8976" max="8976" width="36.42578125" style="884" customWidth="1"/>
    <col min="8977" max="8977" width="46.7109375" style="884" customWidth="1"/>
    <col min="8978" max="8978" width="43.7109375" style="884" customWidth="1"/>
    <col min="8979" max="8979" width="25.42578125" style="884" customWidth="1"/>
    <col min="8980" max="8980" width="12.42578125" style="884" customWidth="1"/>
    <col min="8981" max="8981" width="16.42578125" style="884" customWidth="1"/>
    <col min="8982" max="8982" width="13.42578125" style="884" customWidth="1"/>
    <col min="8983" max="8983" width="8.5703125" style="884" customWidth="1"/>
    <col min="8984" max="8987" width="11.42578125" style="884" customWidth="1"/>
    <col min="8988" max="8988" width="12.7109375" style="884" customWidth="1"/>
    <col min="8989" max="8989" width="11.85546875" style="884" customWidth="1"/>
    <col min="8990" max="8990" width="7.85546875" style="884" customWidth="1"/>
    <col min="8991" max="8991" width="7.5703125" style="884" customWidth="1"/>
    <col min="8992" max="8992" width="8.85546875" style="884" customWidth="1"/>
    <col min="8993" max="8993" width="8.140625" style="884" customWidth="1"/>
    <col min="8994" max="8994" width="7.85546875" style="884" customWidth="1"/>
    <col min="8995" max="8995" width="8.5703125" style="884" customWidth="1"/>
    <col min="8996" max="8996" width="8.28515625" style="884" customWidth="1"/>
    <col min="8997" max="8997" width="11.42578125" style="884" customWidth="1"/>
    <col min="8998" max="8998" width="18" style="884" customWidth="1"/>
    <col min="8999" max="8999" width="21.42578125" style="884" customWidth="1"/>
    <col min="9000" max="9000" width="27.85546875" style="884" customWidth="1"/>
    <col min="9001" max="9216" width="11.42578125" style="884"/>
    <col min="9217" max="9217" width="13.5703125" style="884" customWidth="1"/>
    <col min="9218" max="9218" width="19" style="884" customWidth="1"/>
    <col min="9219" max="9219" width="13.5703125" style="884" customWidth="1"/>
    <col min="9220" max="9220" width="19.7109375" style="884" customWidth="1"/>
    <col min="9221" max="9221" width="13.5703125" style="884" customWidth="1"/>
    <col min="9222" max="9223" width="14.7109375" style="884" customWidth="1"/>
    <col min="9224" max="9224" width="36.140625" style="884" customWidth="1"/>
    <col min="9225" max="9225" width="29.42578125" style="884" customWidth="1"/>
    <col min="9226" max="9226" width="16" style="884" customWidth="1"/>
    <col min="9227" max="9227" width="38.28515625" style="884" customWidth="1"/>
    <col min="9228" max="9228" width="12" style="884" customWidth="1"/>
    <col min="9229" max="9229" width="38.140625" style="884" customWidth="1"/>
    <col min="9230" max="9230" width="17.85546875" style="884" bestFit="1" customWidth="1"/>
    <col min="9231" max="9231" width="24.7109375" style="884" customWidth="1"/>
    <col min="9232" max="9232" width="36.42578125" style="884" customWidth="1"/>
    <col min="9233" max="9233" width="46.7109375" style="884" customWidth="1"/>
    <col min="9234" max="9234" width="43.7109375" style="884" customWidth="1"/>
    <col min="9235" max="9235" width="25.42578125" style="884" customWidth="1"/>
    <col min="9236" max="9236" width="12.42578125" style="884" customWidth="1"/>
    <col min="9237" max="9237" width="16.42578125" style="884" customWidth="1"/>
    <col min="9238" max="9238" width="13.42578125" style="884" customWidth="1"/>
    <col min="9239" max="9239" width="8.5703125" style="884" customWidth="1"/>
    <col min="9240" max="9243" width="11.42578125" style="884" customWidth="1"/>
    <col min="9244" max="9244" width="12.7109375" style="884" customWidth="1"/>
    <col min="9245" max="9245" width="11.85546875" style="884" customWidth="1"/>
    <col min="9246" max="9246" width="7.85546875" style="884" customWidth="1"/>
    <col min="9247" max="9247" width="7.5703125" style="884" customWidth="1"/>
    <col min="9248" max="9248" width="8.85546875" style="884" customWidth="1"/>
    <col min="9249" max="9249" width="8.140625" style="884" customWidth="1"/>
    <col min="9250" max="9250" width="7.85546875" style="884" customWidth="1"/>
    <col min="9251" max="9251" width="8.5703125" style="884" customWidth="1"/>
    <col min="9252" max="9252" width="8.28515625" style="884" customWidth="1"/>
    <col min="9253" max="9253" width="11.42578125" style="884" customWidth="1"/>
    <col min="9254" max="9254" width="18" style="884" customWidth="1"/>
    <col min="9255" max="9255" width="21.42578125" style="884" customWidth="1"/>
    <col min="9256" max="9256" width="27.85546875" style="884" customWidth="1"/>
    <col min="9257" max="9472" width="11.42578125" style="884"/>
    <col min="9473" max="9473" width="13.5703125" style="884" customWidth="1"/>
    <col min="9474" max="9474" width="19" style="884" customWidth="1"/>
    <col min="9475" max="9475" width="13.5703125" style="884" customWidth="1"/>
    <col min="9476" max="9476" width="19.7109375" style="884" customWidth="1"/>
    <col min="9477" max="9477" width="13.5703125" style="884" customWidth="1"/>
    <col min="9478" max="9479" width="14.7109375" style="884" customWidth="1"/>
    <col min="9480" max="9480" width="36.140625" style="884" customWidth="1"/>
    <col min="9481" max="9481" width="29.42578125" style="884" customWidth="1"/>
    <col min="9482" max="9482" width="16" style="884" customWidth="1"/>
    <col min="9483" max="9483" width="38.28515625" style="884" customWidth="1"/>
    <col min="9484" max="9484" width="12" style="884" customWidth="1"/>
    <col min="9485" max="9485" width="38.140625" style="884" customWidth="1"/>
    <col min="9486" max="9486" width="17.85546875" style="884" bestFit="1" customWidth="1"/>
    <col min="9487" max="9487" width="24.7109375" style="884" customWidth="1"/>
    <col min="9488" max="9488" width="36.42578125" style="884" customWidth="1"/>
    <col min="9489" max="9489" width="46.7109375" style="884" customWidth="1"/>
    <col min="9490" max="9490" width="43.7109375" style="884" customWidth="1"/>
    <col min="9491" max="9491" width="25.42578125" style="884" customWidth="1"/>
    <col min="9492" max="9492" width="12.42578125" style="884" customWidth="1"/>
    <col min="9493" max="9493" width="16.42578125" style="884" customWidth="1"/>
    <col min="9494" max="9494" width="13.42578125" style="884" customWidth="1"/>
    <col min="9495" max="9495" width="8.5703125" style="884" customWidth="1"/>
    <col min="9496" max="9499" width="11.42578125" style="884" customWidth="1"/>
    <col min="9500" max="9500" width="12.7109375" style="884" customWidth="1"/>
    <col min="9501" max="9501" width="11.85546875" style="884" customWidth="1"/>
    <col min="9502" max="9502" width="7.85546875" style="884" customWidth="1"/>
    <col min="9503" max="9503" width="7.5703125" style="884" customWidth="1"/>
    <col min="9504" max="9504" width="8.85546875" style="884" customWidth="1"/>
    <col min="9505" max="9505" width="8.140625" style="884" customWidth="1"/>
    <col min="9506" max="9506" width="7.85546875" style="884" customWidth="1"/>
    <col min="9507" max="9507" width="8.5703125" style="884" customWidth="1"/>
    <col min="9508" max="9508" width="8.28515625" style="884" customWidth="1"/>
    <col min="9509" max="9509" width="11.42578125" style="884" customWidth="1"/>
    <col min="9510" max="9510" width="18" style="884" customWidth="1"/>
    <col min="9511" max="9511" width="21.42578125" style="884" customWidth="1"/>
    <col min="9512" max="9512" width="27.85546875" style="884" customWidth="1"/>
    <col min="9513" max="9728" width="11.42578125" style="884"/>
    <col min="9729" max="9729" width="13.5703125" style="884" customWidth="1"/>
    <col min="9730" max="9730" width="19" style="884" customWidth="1"/>
    <col min="9731" max="9731" width="13.5703125" style="884" customWidth="1"/>
    <col min="9732" max="9732" width="19.7109375" style="884" customWidth="1"/>
    <col min="9733" max="9733" width="13.5703125" style="884" customWidth="1"/>
    <col min="9734" max="9735" width="14.7109375" style="884" customWidth="1"/>
    <col min="9736" max="9736" width="36.140625" style="884" customWidth="1"/>
    <col min="9737" max="9737" width="29.42578125" style="884" customWidth="1"/>
    <col min="9738" max="9738" width="16" style="884" customWidth="1"/>
    <col min="9739" max="9739" width="38.28515625" style="884" customWidth="1"/>
    <col min="9740" max="9740" width="12" style="884" customWidth="1"/>
    <col min="9741" max="9741" width="38.140625" style="884" customWidth="1"/>
    <col min="9742" max="9742" width="17.85546875" style="884" bestFit="1" customWidth="1"/>
    <col min="9743" max="9743" width="24.7109375" style="884" customWidth="1"/>
    <col min="9744" max="9744" width="36.42578125" style="884" customWidth="1"/>
    <col min="9745" max="9745" width="46.7109375" style="884" customWidth="1"/>
    <col min="9746" max="9746" width="43.7109375" style="884" customWidth="1"/>
    <col min="9747" max="9747" width="25.42578125" style="884" customWidth="1"/>
    <col min="9748" max="9748" width="12.42578125" style="884" customWidth="1"/>
    <col min="9749" max="9749" width="16.42578125" style="884" customWidth="1"/>
    <col min="9750" max="9750" width="13.42578125" style="884" customWidth="1"/>
    <col min="9751" max="9751" width="8.5703125" style="884" customWidth="1"/>
    <col min="9752" max="9755" width="11.42578125" style="884" customWidth="1"/>
    <col min="9756" max="9756" width="12.7109375" style="884" customWidth="1"/>
    <col min="9757" max="9757" width="11.85546875" style="884" customWidth="1"/>
    <col min="9758" max="9758" width="7.85546875" style="884" customWidth="1"/>
    <col min="9759" max="9759" width="7.5703125" style="884" customWidth="1"/>
    <col min="9760" max="9760" width="8.85546875" style="884" customWidth="1"/>
    <col min="9761" max="9761" width="8.140625" style="884" customWidth="1"/>
    <col min="9762" max="9762" width="7.85546875" style="884" customWidth="1"/>
    <col min="9763" max="9763" width="8.5703125" style="884" customWidth="1"/>
    <col min="9764" max="9764" width="8.28515625" style="884" customWidth="1"/>
    <col min="9765" max="9765" width="11.42578125" style="884" customWidth="1"/>
    <col min="9766" max="9766" width="18" style="884" customWidth="1"/>
    <col min="9767" max="9767" width="21.42578125" style="884" customWidth="1"/>
    <col min="9768" max="9768" width="27.85546875" style="884" customWidth="1"/>
    <col min="9769" max="9984" width="11.42578125" style="884"/>
    <col min="9985" max="9985" width="13.5703125" style="884" customWidth="1"/>
    <col min="9986" max="9986" width="19" style="884" customWidth="1"/>
    <col min="9987" max="9987" width="13.5703125" style="884" customWidth="1"/>
    <col min="9988" max="9988" width="19.7109375" style="884" customWidth="1"/>
    <col min="9989" max="9989" width="13.5703125" style="884" customWidth="1"/>
    <col min="9990" max="9991" width="14.7109375" style="884" customWidth="1"/>
    <col min="9992" max="9992" width="36.140625" style="884" customWidth="1"/>
    <col min="9993" max="9993" width="29.42578125" style="884" customWidth="1"/>
    <col min="9994" max="9994" width="16" style="884" customWidth="1"/>
    <col min="9995" max="9995" width="38.28515625" style="884" customWidth="1"/>
    <col min="9996" max="9996" width="12" style="884" customWidth="1"/>
    <col min="9997" max="9997" width="38.140625" style="884" customWidth="1"/>
    <col min="9998" max="9998" width="17.85546875" style="884" bestFit="1" customWidth="1"/>
    <col min="9999" max="9999" width="24.7109375" style="884" customWidth="1"/>
    <col min="10000" max="10000" width="36.42578125" style="884" customWidth="1"/>
    <col min="10001" max="10001" width="46.7109375" style="884" customWidth="1"/>
    <col min="10002" max="10002" width="43.7109375" style="884" customWidth="1"/>
    <col min="10003" max="10003" width="25.42578125" style="884" customWidth="1"/>
    <col min="10004" max="10004" width="12.42578125" style="884" customWidth="1"/>
    <col min="10005" max="10005" width="16.42578125" style="884" customWidth="1"/>
    <col min="10006" max="10006" width="13.42578125" style="884" customWidth="1"/>
    <col min="10007" max="10007" width="8.5703125" style="884" customWidth="1"/>
    <col min="10008" max="10011" width="11.42578125" style="884" customWidth="1"/>
    <col min="10012" max="10012" width="12.7109375" style="884" customWidth="1"/>
    <col min="10013" max="10013" width="11.85546875" style="884" customWidth="1"/>
    <col min="10014" max="10014" width="7.85546875" style="884" customWidth="1"/>
    <col min="10015" max="10015" width="7.5703125" style="884" customWidth="1"/>
    <col min="10016" max="10016" width="8.85546875" style="884" customWidth="1"/>
    <col min="10017" max="10017" width="8.140625" style="884" customWidth="1"/>
    <col min="10018" max="10018" width="7.85546875" style="884" customWidth="1"/>
    <col min="10019" max="10019" width="8.5703125" style="884" customWidth="1"/>
    <col min="10020" max="10020" width="8.28515625" style="884" customWidth="1"/>
    <col min="10021" max="10021" width="11.42578125" style="884" customWidth="1"/>
    <col min="10022" max="10022" width="18" style="884" customWidth="1"/>
    <col min="10023" max="10023" width="21.42578125" style="884" customWidth="1"/>
    <col min="10024" max="10024" width="27.85546875" style="884" customWidth="1"/>
    <col min="10025" max="10240" width="11.42578125" style="884"/>
    <col min="10241" max="10241" width="13.5703125" style="884" customWidth="1"/>
    <col min="10242" max="10242" width="19" style="884" customWidth="1"/>
    <col min="10243" max="10243" width="13.5703125" style="884" customWidth="1"/>
    <col min="10244" max="10244" width="19.7109375" style="884" customWidth="1"/>
    <col min="10245" max="10245" width="13.5703125" style="884" customWidth="1"/>
    <col min="10246" max="10247" width="14.7109375" style="884" customWidth="1"/>
    <col min="10248" max="10248" width="36.140625" style="884" customWidth="1"/>
    <col min="10249" max="10249" width="29.42578125" style="884" customWidth="1"/>
    <col min="10250" max="10250" width="16" style="884" customWidth="1"/>
    <col min="10251" max="10251" width="38.28515625" style="884" customWidth="1"/>
    <col min="10252" max="10252" width="12" style="884" customWidth="1"/>
    <col min="10253" max="10253" width="38.140625" style="884" customWidth="1"/>
    <col min="10254" max="10254" width="17.85546875" style="884" bestFit="1" customWidth="1"/>
    <col min="10255" max="10255" width="24.7109375" style="884" customWidth="1"/>
    <col min="10256" max="10256" width="36.42578125" style="884" customWidth="1"/>
    <col min="10257" max="10257" width="46.7109375" style="884" customWidth="1"/>
    <col min="10258" max="10258" width="43.7109375" style="884" customWidth="1"/>
    <col min="10259" max="10259" width="25.42578125" style="884" customWidth="1"/>
    <col min="10260" max="10260" width="12.42578125" style="884" customWidth="1"/>
    <col min="10261" max="10261" width="16.42578125" style="884" customWidth="1"/>
    <col min="10262" max="10262" width="13.42578125" style="884" customWidth="1"/>
    <col min="10263" max="10263" width="8.5703125" style="884" customWidth="1"/>
    <col min="10264" max="10267" width="11.42578125" style="884" customWidth="1"/>
    <col min="10268" max="10268" width="12.7109375" style="884" customWidth="1"/>
    <col min="10269" max="10269" width="11.85546875" style="884" customWidth="1"/>
    <col min="10270" max="10270" width="7.85546875" style="884" customWidth="1"/>
    <col min="10271" max="10271" width="7.5703125" style="884" customWidth="1"/>
    <col min="10272" max="10272" width="8.85546875" style="884" customWidth="1"/>
    <col min="10273" max="10273" width="8.140625" style="884" customWidth="1"/>
    <col min="10274" max="10274" width="7.85546875" style="884" customWidth="1"/>
    <col min="10275" max="10275" width="8.5703125" style="884" customWidth="1"/>
    <col min="10276" max="10276" width="8.28515625" style="884" customWidth="1"/>
    <col min="10277" max="10277" width="11.42578125" style="884" customWidth="1"/>
    <col min="10278" max="10278" width="18" style="884" customWidth="1"/>
    <col min="10279" max="10279" width="21.42578125" style="884" customWidth="1"/>
    <col min="10280" max="10280" width="27.85546875" style="884" customWidth="1"/>
    <col min="10281" max="10496" width="11.42578125" style="884"/>
    <col min="10497" max="10497" width="13.5703125" style="884" customWidth="1"/>
    <col min="10498" max="10498" width="19" style="884" customWidth="1"/>
    <col min="10499" max="10499" width="13.5703125" style="884" customWidth="1"/>
    <col min="10500" max="10500" width="19.7109375" style="884" customWidth="1"/>
    <col min="10501" max="10501" width="13.5703125" style="884" customWidth="1"/>
    <col min="10502" max="10503" width="14.7109375" style="884" customWidth="1"/>
    <col min="10504" max="10504" width="36.140625" style="884" customWidth="1"/>
    <col min="10505" max="10505" width="29.42578125" style="884" customWidth="1"/>
    <col min="10506" max="10506" width="16" style="884" customWidth="1"/>
    <col min="10507" max="10507" width="38.28515625" style="884" customWidth="1"/>
    <col min="10508" max="10508" width="12" style="884" customWidth="1"/>
    <col min="10509" max="10509" width="38.140625" style="884" customWidth="1"/>
    <col min="10510" max="10510" width="17.85546875" style="884" bestFit="1" customWidth="1"/>
    <col min="10511" max="10511" width="24.7109375" style="884" customWidth="1"/>
    <col min="10512" max="10512" width="36.42578125" style="884" customWidth="1"/>
    <col min="10513" max="10513" width="46.7109375" style="884" customWidth="1"/>
    <col min="10514" max="10514" width="43.7109375" style="884" customWidth="1"/>
    <col min="10515" max="10515" width="25.42578125" style="884" customWidth="1"/>
    <col min="10516" max="10516" width="12.42578125" style="884" customWidth="1"/>
    <col min="10517" max="10517" width="16.42578125" style="884" customWidth="1"/>
    <col min="10518" max="10518" width="13.42578125" style="884" customWidth="1"/>
    <col min="10519" max="10519" width="8.5703125" style="884" customWidth="1"/>
    <col min="10520" max="10523" width="11.42578125" style="884" customWidth="1"/>
    <col min="10524" max="10524" width="12.7109375" style="884" customWidth="1"/>
    <col min="10525" max="10525" width="11.85546875" style="884" customWidth="1"/>
    <col min="10526" max="10526" width="7.85546875" style="884" customWidth="1"/>
    <col min="10527" max="10527" width="7.5703125" style="884" customWidth="1"/>
    <col min="10528" max="10528" width="8.85546875" style="884" customWidth="1"/>
    <col min="10529" max="10529" width="8.140625" style="884" customWidth="1"/>
    <col min="10530" max="10530" width="7.85546875" style="884" customWidth="1"/>
    <col min="10531" max="10531" width="8.5703125" style="884" customWidth="1"/>
    <col min="10532" max="10532" width="8.28515625" style="884" customWidth="1"/>
    <col min="10533" max="10533" width="11.42578125" style="884" customWidth="1"/>
    <col min="10534" max="10534" width="18" style="884" customWidth="1"/>
    <col min="10535" max="10535" width="21.42578125" style="884" customWidth="1"/>
    <col min="10536" max="10536" width="27.85546875" style="884" customWidth="1"/>
    <col min="10537" max="10752" width="11.42578125" style="884"/>
    <col min="10753" max="10753" width="13.5703125" style="884" customWidth="1"/>
    <col min="10754" max="10754" width="19" style="884" customWidth="1"/>
    <col min="10755" max="10755" width="13.5703125" style="884" customWidth="1"/>
    <col min="10756" max="10756" width="19.7109375" style="884" customWidth="1"/>
    <col min="10757" max="10757" width="13.5703125" style="884" customWidth="1"/>
    <col min="10758" max="10759" width="14.7109375" style="884" customWidth="1"/>
    <col min="10760" max="10760" width="36.140625" style="884" customWidth="1"/>
    <col min="10761" max="10761" width="29.42578125" style="884" customWidth="1"/>
    <col min="10762" max="10762" width="16" style="884" customWidth="1"/>
    <col min="10763" max="10763" width="38.28515625" style="884" customWidth="1"/>
    <col min="10764" max="10764" width="12" style="884" customWidth="1"/>
    <col min="10765" max="10765" width="38.140625" style="884" customWidth="1"/>
    <col min="10766" max="10766" width="17.85546875" style="884" bestFit="1" customWidth="1"/>
    <col min="10767" max="10767" width="24.7109375" style="884" customWidth="1"/>
    <col min="10768" max="10768" width="36.42578125" style="884" customWidth="1"/>
    <col min="10769" max="10769" width="46.7109375" style="884" customWidth="1"/>
    <col min="10770" max="10770" width="43.7109375" style="884" customWidth="1"/>
    <col min="10771" max="10771" width="25.42578125" style="884" customWidth="1"/>
    <col min="10772" max="10772" width="12.42578125" style="884" customWidth="1"/>
    <col min="10773" max="10773" width="16.42578125" style="884" customWidth="1"/>
    <col min="10774" max="10774" width="13.42578125" style="884" customWidth="1"/>
    <col min="10775" max="10775" width="8.5703125" style="884" customWidth="1"/>
    <col min="10776" max="10779" width="11.42578125" style="884" customWidth="1"/>
    <col min="10780" max="10780" width="12.7109375" style="884" customWidth="1"/>
    <col min="10781" max="10781" width="11.85546875" style="884" customWidth="1"/>
    <col min="10782" max="10782" width="7.85546875" style="884" customWidth="1"/>
    <col min="10783" max="10783" width="7.5703125" style="884" customWidth="1"/>
    <col min="10784" max="10784" width="8.85546875" style="884" customWidth="1"/>
    <col min="10785" max="10785" width="8.140625" style="884" customWidth="1"/>
    <col min="10786" max="10786" width="7.85546875" style="884" customWidth="1"/>
    <col min="10787" max="10787" width="8.5703125" style="884" customWidth="1"/>
    <col min="10788" max="10788" width="8.28515625" style="884" customWidth="1"/>
    <col min="10789" max="10789" width="11.42578125" style="884" customWidth="1"/>
    <col min="10790" max="10790" width="18" style="884" customWidth="1"/>
    <col min="10791" max="10791" width="21.42578125" style="884" customWidth="1"/>
    <col min="10792" max="10792" width="27.85546875" style="884" customWidth="1"/>
    <col min="10793" max="11008" width="11.42578125" style="884"/>
    <col min="11009" max="11009" width="13.5703125" style="884" customWidth="1"/>
    <col min="11010" max="11010" width="19" style="884" customWidth="1"/>
    <col min="11011" max="11011" width="13.5703125" style="884" customWidth="1"/>
    <col min="11012" max="11012" width="19.7109375" style="884" customWidth="1"/>
    <col min="11013" max="11013" width="13.5703125" style="884" customWidth="1"/>
    <col min="11014" max="11015" width="14.7109375" style="884" customWidth="1"/>
    <col min="11016" max="11016" width="36.140625" style="884" customWidth="1"/>
    <col min="11017" max="11017" width="29.42578125" style="884" customWidth="1"/>
    <col min="11018" max="11018" width="16" style="884" customWidth="1"/>
    <col min="11019" max="11019" width="38.28515625" style="884" customWidth="1"/>
    <col min="11020" max="11020" width="12" style="884" customWidth="1"/>
    <col min="11021" max="11021" width="38.140625" style="884" customWidth="1"/>
    <col min="11022" max="11022" width="17.85546875" style="884" bestFit="1" customWidth="1"/>
    <col min="11023" max="11023" width="24.7109375" style="884" customWidth="1"/>
    <col min="11024" max="11024" width="36.42578125" style="884" customWidth="1"/>
    <col min="11025" max="11025" width="46.7109375" style="884" customWidth="1"/>
    <col min="11026" max="11026" width="43.7109375" style="884" customWidth="1"/>
    <col min="11027" max="11027" width="25.42578125" style="884" customWidth="1"/>
    <col min="11028" max="11028" width="12.42578125" style="884" customWidth="1"/>
    <col min="11029" max="11029" width="16.42578125" style="884" customWidth="1"/>
    <col min="11030" max="11030" width="13.42578125" style="884" customWidth="1"/>
    <col min="11031" max="11031" width="8.5703125" style="884" customWidth="1"/>
    <col min="11032" max="11035" width="11.42578125" style="884" customWidth="1"/>
    <col min="11036" max="11036" width="12.7109375" style="884" customWidth="1"/>
    <col min="11037" max="11037" width="11.85546875" style="884" customWidth="1"/>
    <col min="11038" max="11038" width="7.85546875" style="884" customWidth="1"/>
    <col min="11039" max="11039" width="7.5703125" style="884" customWidth="1"/>
    <col min="11040" max="11040" width="8.85546875" style="884" customWidth="1"/>
    <col min="11041" max="11041" width="8.140625" style="884" customWidth="1"/>
    <col min="11042" max="11042" width="7.85546875" style="884" customWidth="1"/>
    <col min="11043" max="11043" width="8.5703125" style="884" customWidth="1"/>
    <col min="11044" max="11044" width="8.28515625" style="884" customWidth="1"/>
    <col min="11045" max="11045" width="11.42578125" style="884" customWidth="1"/>
    <col min="11046" max="11046" width="18" style="884" customWidth="1"/>
    <col min="11047" max="11047" width="21.42578125" style="884" customWidth="1"/>
    <col min="11048" max="11048" width="27.85546875" style="884" customWidth="1"/>
    <col min="11049" max="11264" width="11.42578125" style="884"/>
    <col min="11265" max="11265" width="13.5703125" style="884" customWidth="1"/>
    <col min="11266" max="11266" width="19" style="884" customWidth="1"/>
    <col min="11267" max="11267" width="13.5703125" style="884" customWidth="1"/>
    <col min="11268" max="11268" width="19.7109375" style="884" customWidth="1"/>
    <col min="11269" max="11269" width="13.5703125" style="884" customWidth="1"/>
    <col min="11270" max="11271" width="14.7109375" style="884" customWidth="1"/>
    <col min="11272" max="11272" width="36.140625" style="884" customWidth="1"/>
    <col min="11273" max="11273" width="29.42578125" style="884" customWidth="1"/>
    <col min="11274" max="11274" width="16" style="884" customWidth="1"/>
    <col min="11275" max="11275" width="38.28515625" style="884" customWidth="1"/>
    <col min="11276" max="11276" width="12" style="884" customWidth="1"/>
    <col min="11277" max="11277" width="38.140625" style="884" customWidth="1"/>
    <col min="11278" max="11278" width="17.85546875" style="884" bestFit="1" customWidth="1"/>
    <col min="11279" max="11279" width="24.7109375" style="884" customWidth="1"/>
    <col min="11280" max="11280" width="36.42578125" style="884" customWidth="1"/>
    <col min="11281" max="11281" width="46.7109375" style="884" customWidth="1"/>
    <col min="11282" max="11282" width="43.7109375" style="884" customWidth="1"/>
    <col min="11283" max="11283" width="25.42578125" style="884" customWidth="1"/>
    <col min="11284" max="11284" width="12.42578125" style="884" customWidth="1"/>
    <col min="11285" max="11285" width="16.42578125" style="884" customWidth="1"/>
    <col min="11286" max="11286" width="13.42578125" style="884" customWidth="1"/>
    <col min="11287" max="11287" width="8.5703125" style="884" customWidth="1"/>
    <col min="11288" max="11291" width="11.42578125" style="884" customWidth="1"/>
    <col min="11292" max="11292" width="12.7109375" style="884" customWidth="1"/>
    <col min="11293" max="11293" width="11.85546875" style="884" customWidth="1"/>
    <col min="11294" max="11294" width="7.85546875" style="884" customWidth="1"/>
    <col min="11295" max="11295" width="7.5703125" style="884" customWidth="1"/>
    <col min="11296" max="11296" width="8.85546875" style="884" customWidth="1"/>
    <col min="11297" max="11297" width="8.140625" style="884" customWidth="1"/>
    <col min="11298" max="11298" width="7.85546875" style="884" customWidth="1"/>
    <col min="11299" max="11299" width="8.5703125" style="884" customWidth="1"/>
    <col min="11300" max="11300" width="8.28515625" style="884" customWidth="1"/>
    <col min="11301" max="11301" width="11.42578125" style="884" customWidth="1"/>
    <col min="11302" max="11302" width="18" style="884" customWidth="1"/>
    <col min="11303" max="11303" width="21.42578125" style="884" customWidth="1"/>
    <col min="11304" max="11304" width="27.85546875" style="884" customWidth="1"/>
    <col min="11305" max="11520" width="11.42578125" style="884"/>
    <col min="11521" max="11521" width="13.5703125" style="884" customWidth="1"/>
    <col min="11522" max="11522" width="19" style="884" customWidth="1"/>
    <col min="11523" max="11523" width="13.5703125" style="884" customWidth="1"/>
    <col min="11524" max="11524" width="19.7109375" style="884" customWidth="1"/>
    <col min="11525" max="11525" width="13.5703125" style="884" customWidth="1"/>
    <col min="11526" max="11527" width="14.7109375" style="884" customWidth="1"/>
    <col min="11528" max="11528" width="36.140625" style="884" customWidth="1"/>
    <col min="11529" max="11529" width="29.42578125" style="884" customWidth="1"/>
    <col min="11530" max="11530" width="16" style="884" customWidth="1"/>
    <col min="11531" max="11531" width="38.28515625" style="884" customWidth="1"/>
    <col min="11532" max="11532" width="12" style="884" customWidth="1"/>
    <col min="11533" max="11533" width="38.140625" style="884" customWidth="1"/>
    <col min="11534" max="11534" width="17.85546875" style="884" bestFit="1" customWidth="1"/>
    <col min="11535" max="11535" width="24.7109375" style="884" customWidth="1"/>
    <col min="11536" max="11536" width="36.42578125" style="884" customWidth="1"/>
    <col min="11537" max="11537" width="46.7109375" style="884" customWidth="1"/>
    <col min="11538" max="11538" width="43.7109375" style="884" customWidth="1"/>
    <col min="11539" max="11539" width="25.42578125" style="884" customWidth="1"/>
    <col min="11540" max="11540" width="12.42578125" style="884" customWidth="1"/>
    <col min="11541" max="11541" width="16.42578125" style="884" customWidth="1"/>
    <col min="11542" max="11542" width="13.42578125" style="884" customWidth="1"/>
    <col min="11543" max="11543" width="8.5703125" style="884" customWidth="1"/>
    <col min="11544" max="11547" width="11.42578125" style="884" customWidth="1"/>
    <col min="11548" max="11548" width="12.7109375" style="884" customWidth="1"/>
    <col min="11549" max="11549" width="11.85546875" style="884" customWidth="1"/>
    <col min="11550" max="11550" width="7.85546875" style="884" customWidth="1"/>
    <col min="11551" max="11551" width="7.5703125" style="884" customWidth="1"/>
    <col min="11552" max="11552" width="8.85546875" style="884" customWidth="1"/>
    <col min="11553" max="11553" width="8.140625" style="884" customWidth="1"/>
    <col min="11554" max="11554" width="7.85546875" style="884" customWidth="1"/>
    <col min="11555" max="11555" width="8.5703125" style="884" customWidth="1"/>
    <col min="11556" max="11556" width="8.28515625" style="884" customWidth="1"/>
    <col min="11557" max="11557" width="11.42578125" style="884" customWidth="1"/>
    <col min="11558" max="11558" width="18" style="884" customWidth="1"/>
    <col min="11559" max="11559" width="21.42578125" style="884" customWidth="1"/>
    <col min="11560" max="11560" width="27.85546875" style="884" customWidth="1"/>
    <col min="11561" max="11776" width="11.42578125" style="884"/>
    <col min="11777" max="11777" width="13.5703125" style="884" customWidth="1"/>
    <col min="11778" max="11778" width="19" style="884" customWidth="1"/>
    <col min="11779" max="11779" width="13.5703125" style="884" customWidth="1"/>
    <col min="11780" max="11780" width="19.7109375" style="884" customWidth="1"/>
    <col min="11781" max="11781" width="13.5703125" style="884" customWidth="1"/>
    <col min="11782" max="11783" width="14.7109375" style="884" customWidth="1"/>
    <col min="11784" max="11784" width="36.140625" style="884" customWidth="1"/>
    <col min="11785" max="11785" width="29.42578125" style="884" customWidth="1"/>
    <col min="11786" max="11786" width="16" style="884" customWidth="1"/>
    <col min="11787" max="11787" width="38.28515625" style="884" customWidth="1"/>
    <col min="11788" max="11788" width="12" style="884" customWidth="1"/>
    <col min="11789" max="11789" width="38.140625" style="884" customWidth="1"/>
    <col min="11790" max="11790" width="17.85546875" style="884" bestFit="1" customWidth="1"/>
    <col min="11791" max="11791" width="24.7109375" style="884" customWidth="1"/>
    <col min="11792" max="11792" width="36.42578125" style="884" customWidth="1"/>
    <col min="11793" max="11793" width="46.7109375" style="884" customWidth="1"/>
    <col min="11794" max="11794" width="43.7109375" style="884" customWidth="1"/>
    <col min="11795" max="11795" width="25.42578125" style="884" customWidth="1"/>
    <col min="11796" max="11796" width="12.42578125" style="884" customWidth="1"/>
    <col min="11797" max="11797" width="16.42578125" style="884" customWidth="1"/>
    <col min="11798" max="11798" width="13.42578125" style="884" customWidth="1"/>
    <col min="11799" max="11799" width="8.5703125" style="884" customWidth="1"/>
    <col min="11800" max="11803" width="11.42578125" style="884" customWidth="1"/>
    <col min="11804" max="11804" width="12.7109375" style="884" customWidth="1"/>
    <col min="11805" max="11805" width="11.85546875" style="884" customWidth="1"/>
    <col min="11806" max="11806" width="7.85546875" style="884" customWidth="1"/>
    <col min="11807" max="11807" width="7.5703125" style="884" customWidth="1"/>
    <col min="11808" max="11808" width="8.85546875" style="884" customWidth="1"/>
    <col min="11809" max="11809" width="8.140625" style="884" customWidth="1"/>
    <col min="11810" max="11810" width="7.85546875" style="884" customWidth="1"/>
    <col min="11811" max="11811" width="8.5703125" style="884" customWidth="1"/>
    <col min="11812" max="11812" width="8.28515625" style="884" customWidth="1"/>
    <col min="11813" max="11813" width="11.42578125" style="884" customWidth="1"/>
    <col min="11814" max="11814" width="18" style="884" customWidth="1"/>
    <col min="11815" max="11815" width="21.42578125" style="884" customWidth="1"/>
    <col min="11816" max="11816" width="27.85546875" style="884" customWidth="1"/>
    <col min="11817" max="12032" width="11.42578125" style="884"/>
    <col min="12033" max="12033" width="13.5703125" style="884" customWidth="1"/>
    <col min="12034" max="12034" width="19" style="884" customWidth="1"/>
    <col min="12035" max="12035" width="13.5703125" style="884" customWidth="1"/>
    <col min="12036" max="12036" width="19.7109375" style="884" customWidth="1"/>
    <col min="12037" max="12037" width="13.5703125" style="884" customWidth="1"/>
    <col min="12038" max="12039" width="14.7109375" style="884" customWidth="1"/>
    <col min="12040" max="12040" width="36.140625" style="884" customWidth="1"/>
    <col min="12041" max="12041" width="29.42578125" style="884" customWidth="1"/>
    <col min="12042" max="12042" width="16" style="884" customWidth="1"/>
    <col min="12043" max="12043" width="38.28515625" style="884" customWidth="1"/>
    <col min="12044" max="12044" width="12" style="884" customWidth="1"/>
    <col min="12045" max="12045" width="38.140625" style="884" customWidth="1"/>
    <col min="12046" max="12046" width="17.85546875" style="884" bestFit="1" customWidth="1"/>
    <col min="12047" max="12047" width="24.7109375" style="884" customWidth="1"/>
    <col min="12048" max="12048" width="36.42578125" style="884" customWidth="1"/>
    <col min="12049" max="12049" width="46.7109375" style="884" customWidth="1"/>
    <col min="12050" max="12050" width="43.7109375" style="884" customWidth="1"/>
    <col min="12051" max="12051" width="25.42578125" style="884" customWidth="1"/>
    <col min="12052" max="12052" width="12.42578125" style="884" customWidth="1"/>
    <col min="12053" max="12053" width="16.42578125" style="884" customWidth="1"/>
    <col min="12054" max="12054" width="13.42578125" style="884" customWidth="1"/>
    <col min="12055" max="12055" width="8.5703125" style="884" customWidth="1"/>
    <col min="12056" max="12059" width="11.42578125" style="884" customWidth="1"/>
    <col min="12060" max="12060" width="12.7109375" style="884" customWidth="1"/>
    <col min="12061" max="12061" width="11.85546875" style="884" customWidth="1"/>
    <col min="12062" max="12062" width="7.85546875" style="884" customWidth="1"/>
    <col min="12063" max="12063" width="7.5703125" style="884" customWidth="1"/>
    <col min="12064" max="12064" width="8.85546875" style="884" customWidth="1"/>
    <col min="12065" max="12065" width="8.140625" style="884" customWidth="1"/>
    <col min="12066" max="12066" width="7.85546875" style="884" customWidth="1"/>
    <col min="12067" max="12067" width="8.5703125" style="884" customWidth="1"/>
    <col min="12068" max="12068" width="8.28515625" style="884" customWidth="1"/>
    <col min="12069" max="12069" width="11.42578125" style="884" customWidth="1"/>
    <col min="12070" max="12070" width="18" style="884" customWidth="1"/>
    <col min="12071" max="12071" width="21.42578125" style="884" customWidth="1"/>
    <col min="12072" max="12072" width="27.85546875" style="884" customWidth="1"/>
    <col min="12073" max="12288" width="11.42578125" style="884"/>
    <col min="12289" max="12289" width="13.5703125" style="884" customWidth="1"/>
    <col min="12290" max="12290" width="19" style="884" customWidth="1"/>
    <col min="12291" max="12291" width="13.5703125" style="884" customWidth="1"/>
    <col min="12292" max="12292" width="19.7109375" style="884" customWidth="1"/>
    <col min="12293" max="12293" width="13.5703125" style="884" customWidth="1"/>
    <col min="12294" max="12295" width="14.7109375" style="884" customWidth="1"/>
    <col min="12296" max="12296" width="36.140625" style="884" customWidth="1"/>
    <col min="12297" max="12297" width="29.42578125" style="884" customWidth="1"/>
    <col min="12298" max="12298" width="16" style="884" customWidth="1"/>
    <col min="12299" max="12299" width="38.28515625" style="884" customWidth="1"/>
    <col min="12300" max="12300" width="12" style="884" customWidth="1"/>
    <col min="12301" max="12301" width="38.140625" style="884" customWidth="1"/>
    <col min="12302" max="12302" width="17.85546875" style="884" bestFit="1" customWidth="1"/>
    <col min="12303" max="12303" width="24.7109375" style="884" customWidth="1"/>
    <col min="12304" max="12304" width="36.42578125" style="884" customWidth="1"/>
    <col min="12305" max="12305" width="46.7109375" style="884" customWidth="1"/>
    <col min="12306" max="12306" width="43.7109375" style="884" customWidth="1"/>
    <col min="12307" max="12307" width="25.42578125" style="884" customWidth="1"/>
    <col min="12308" max="12308" width="12.42578125" style="884" customWidth="1"/>
    <col min="12309" max="12309" width="16.42578125" style="884" customWidth="1"/>
    <col min="12310" max="12310" width="13.42578125" style="884" customWidth="1"/>
    <col min="12311" max="12311" width="8.5703125" style="884" customWidth="1"/>
    <col min="12312" max="12315" width="11.42578125" style="884" customWidth="1"/>
    <col min="12316" max="12316" width="12.7109375" style="884" customWidth="1"/>
    <col min="12317" max="12317" width="11.85546875" style="884" customWidth="1"/>
    <col min="12318" max="12318" width="7.85546875" style="884" customWidth="1"/>
    <col min="12319" max="12319" width="7.5703125" style="884" customWidth="1"/>
    <col min="12320" max="12320" width="8.85546875" style="884" customWidth="1"/>
    <col min="12321" max="12321" width="8.140625" style="884" customWidth="1"/>
    <col min="12322" max="12322" width="7.85546875" style="884" customWidth="1"/>
    <col min="12323" max="12323" width="8.5703125" style="884" customWidth="1"/>
    <col min="12324" max="12324" width="8.28515625" style="884" customWidth="1"/>
    <col min="12325" max="12325" width="11.42578125" style="884" customWidth="1"/>
    <col min="12326" max="12326" width="18" style="884" customWidth="1"/>
    <col min="12327" max="12327" width="21.42578125" style="884" customWidth="1"/>
    <col min="12328" max="12328" width="27.85546875" style="884" customWidth="1"/>
    <col min="12329" max="12544" width="11.42578125" style="884"/>
    <col min="12545" max="12545" width="13.5703125" style="884" customWidth="1"/>
    <col min="12546" max="12546" width="19" style="884" customWidth="1"/>
    <col min="12547" max="12547" width="13.5703125" style="884" customWidth="1"/>
    <col min="12548" max="12548" width="19.7109375" style="884" customWidth="1"/>
    <col min="12549" max="12549" width="13.5703125" style="884" customWidth="1"/>
    <col min="12550" max="12551" width="14.7109375" style="884" customWidth="1"/>
    <col min="12552" max="12552" width="36.140625" style="884" customWidth="1"/>
    <col min="12553" max="12553" width="29.42578125" style="884" customWidth="1"/>
    <col min="12554" max="12554" width="16" style="884" customWidth="1"/>
    <col min="12555" max="12555" width="38.28515625" style="884" customWidth="1"/>
    <col min="12556" max="12556" width="12" style="884" customWidth="1"/>
    <col min="12557" max="12557" width="38.140625" style="884" customWidth="1"/>
    <col min="12558" max="12558" width="17.85546875" style="884" bestFit="1" customWidth="1"/>
    <col min="12559" max="12559" width="24.7109375" style="884" customWidth="1"/>
    <col min="12560" max="12560" width="36.42578125" style="884" customWidth="1"/>
    <col min="12561" max="12561" width="46.7109375" style="884" customWidth="1"/>
    <col min="12562" max="12562" width="43.7109375" style="884" customWidth="1"/>
    <col min="12563" max="12563" width="25.42578125" style="884" customWidth="1"/>
    <col min="12564" max="12564" width="12.42578125" style="884" customWidth="1"/>
    <col min="12565" max="12565" width="16.42578125" style="884" customWidth="1"/>
    <col min="12566" max="12566" width="13.42578125" style="884" customWidth="1"/>
    <col min="12567" max="12567" width="8.5703125" style="884" customWidth="1"/>
    <col min="12568" max="12571" width="11.42578125" style="884" customWidth="1"/>
    <col min="12572" max="12572" width="12.7109375" style="884" customWidth="1"/>
    <col min="12573" max="12573" width="11.85546875" style="884" customWidth="1"/>
    <col min="12574" max="12574" width="7.85546875" style="884" customWidth="1"/>
    <col min="12575" max="12575" width="7.5703125" style="884" customWidth="1"/>
    <col min="12576" max="12576" width="8.85546875" style="884" customWidth="1"/>
    <col min="12577" max="12577" width="8.140625" style="884" customWidth="1"/>
    <col min="12578" max="12578" width="7.85546875" style="884" customWidth="1"/>
    <col min="12579" max="12579" width="8.5703125" style="884" customWidth="1"/>
    <col min="12580" max="12580" width="8.28515625" style="884" customWidth="1"/>
    <col min="12581" max="12581" width="11.42578125" style="884" customWidth="1"/>
    <col min="12582" max="12582" width="18" style="884" customWidth="1"/>
    <col min="12583" max="12583" width="21.42578125" style="884" customWidth="1"/>
    <col min="12584" max="12584" width="27.85546875" style="884" customWidth="1"/>
    <col min="12585" max="12800" width="11.42578125" style="884"/>
    <col min="12801" max="12801" width="13.5703125" style="884" customWidth="1"/>
    <col min="12802" max="12802" width="19" style="884" customWidth="1"/>
    <col min="12803" max="12803" width="13.5703125" style="884" customWidth="1"/>
    <col min="12804" max="12804" width="19.7109375" style="884" customWidth="1"/>
    <col min="12805" max="12805" width="13.5703125" style="884" customWidth="1"/>
    <col min="12806" max="12807" width="14.7109375" style="884" customWidth="1"/>
    <col min="12808" max="12808" width="36.140625" style="884" customWidth="1"/>
    <col min="12809" max="12809" width="29.42578125" style="884" customWidth="1"/>
    <col min="12810" max="12810" width="16" style="884" customWidth="1"/>
    <col min="12811" max="12811" width="38.28515625" style="884" customWidth="1"/>
    <col min="12812" max="12812" width="12" style="884" customWidth="1"/>
    <col min="12813" max="12813" width="38.140625" style="884" customWidth="1"/>
    <col min="12814" max="12814" width="17.85546875" style="884" bestFit="1" customWidth="1"/>
    <col min="12815" max="12815" width="24.7109375" style="884" customWidth="1"/>
    <col min="12816" max="12816" width="36.42578125" style="884" customWidth="1"/>
    <col min="12817" max="12817" width="46.7109375" style="884" customWidth="1"/>
    <col min="12818" max="12818" width="43.7109375" style="884" customWidth="1"/>
    <col min="12819" max="12819" width="25.42578125" style="884" customWidth="1"/>
    <col min="12820" max="12820" width="12.42578125" style="884" customWidth="1"/>
    <col min="12821" max="12821" width="16.42578125" style="884" customWidth="1"/>
    <col min="12822" max="12822" width="13.42578125" style="884" customWidth="1"/>
    <col min="12823" max="12823" width="8.5703125" style="884" customWidth="1"/>
    <col min="12824" max="12827" width="11.42578125" style="884" customWidth="1"/>
    <col min="12828" max="12828" width="12.7109375" style="884" customWidth="1"/>
    <col min="12829" max="12829" width="11.85546875" style="884" customWidth="1"/>
    <col min="12830" max="12830" width="7.85546875" style="884" customWidth="1"/>
    <col min="12831" max="12831" width="7.5703125" style="884" customWidth="1"/>
    <col min="12832" max="12832" width="8.85546875" style="884" customWidth="1"/>
    <col min="12833" max="12833" width="8.140625" style="884" customWidth="1"/>
    <col min="12834" max="12834" width="7.85546875" style="884" customWidth="1"/>
    <col min="12835" max="12835" width="8.5703125" style="884" customWidth="1"/>
    <col min="12836" max="12836" width="8.28515625" style="884" customWidth="1"/>
    <col min="12837" max="12837" width="11.42578125" style="884" customWidth="1"/>
    <col min="12838" max="12838" width="18" style="884" customWidth="1"/>
    <col min="12839" max="12839" width="21.42578125" style="884" customWidth="1"/>
    <col min="12840" max="12840" width="27.85546875" style="884" customWidth="1"/>
    <col min="12841" max="13056" width="11.42578125" style="884"/>
    <col min="13057" max="13057" width="13.5703125" style="884" customWidth="1"/>
    <col min="13058" max="13058" width="19" style="884" customWidth="1"/>
    <col min="13059" max="13059" width="13.5703125" style="884" customWidth="1"/>
    <col min="13060" max="13060" width="19.7109375" style="884" customWidth="1"/>
    <col min="13061" max="13061" width="13.5703125" style="884" customWidth="1"/>
    <col min="13062" max="13063" width="14.7109375" style="884" customWidth="1"/>
    <col min="13064" max="13064" width="36.140625" style="884" customWidth="1"/>
    <col min="13065" max="13065" width="29.42578125" style="884" customWidth="1"/>
    <col min="13066" max="13066" width="16" style="884" customWidth="1"/>
    <col min="13067" max="13067" width="38.28515625" style="884" customWidth="1"/>
    <col min="13068" max="13068" width="12" style="884" customWidth="1"/>
    <col min="13069" max="13069" width="38.140625" style="884" customWidth="1"/>
    <col min="13070" max="13070" width="17.85546875" style="884" bestFit="1" customWidth="1"/>
    <col min="13071" max="13071" width="24.7109375" style="884" customWidth="1"/>
    <col min="13072" max="13072" width="36.42578125" style="884" customWidth="1"/>
    <col min="13073" max="13073" width="46.7109375" style="884" customWidth="1"/>
    <col min="13074" max="13074" width="43.7109375" style="884" customWidth="1"/>
    <col min="13075" max="13075" width="25.42578125" style="884" customWidth="1"/>
    <col min="13076" max="13076" width="12.42578125" style="884" customWidth="1"/>
    <col min="13077" max="13077" width="16.42578125" style="884" customWidth="1"/>
    <col min="13078" max="13078" width="13.42578125" style="884" customWidth="1"/>
    <col min="13079" max="13079" width="8.5703125" style="884" customWidth="1"/>
    <col min="13080" max="13083" width="11.42578125" style="884" customWidth="1"/>
    <col min="13084" max="13084" width="12.7109375" style="884" customWidth="1"/>
    <col min="13085" max="13085" width="11.85546875" style="884" customWidth="1"/>
    <col min="13086" max="13086" width="7.85546875" style="884" customWidth="1"/>
    <col min="13087" max="13087" width="7.5703125" style="884" customWidth="1"/>
    <col min="13088" max="13088" width="8.85546875" style="884" customWidth="1"/>
    <col min="13089" max="13089" width="8.140625" style="884" customWidth="1"/>
    <col min="13090" max="13090" width="7.85546875" style="884" customWidth="1"/>
    <col min="13091" max="13091" width="8.5703125" style="884" customWidth="1"/>
    <col min="13092" max="13092" width="8.28515625" style="884" customWidth="1"/>
    <col min="13093" max="13093" width="11.42578125" style="884" customWidth="1"/>
    <col min="13094" max="13094" width="18" style="884" customWidth="1"/>
    <col min="13095" max="13095" width="21.42578125" style="884" customWidth="1"/>
    <col min="13096" max="13096" width="27.85546875" style="884" customWidth="1"/>
    <col min="13097" max="13312" width="11.42578125" style="884"/>
    <col min="13313" max="13313" width="13.5703125" style="884" customWidth="1"/>
    <col min="13314" max="13314" width="19" style="884" customWidth="1"/>
    <col min="13315" max="13315" width="13.5703125" style="884" customWidth="1"/>
    <col min="13316" max="13316" width="19.7109375" style="884" customWidth="1"/>
    <col min="13317" max="13317" width="13.5703125" style="884" customWidth="1"/>
    <col min="13318" max="13319" width="14.7109375" style="884" customWidth="1"/>
    <col min="13320" max="13320" width="36.140625" style="884" customWidth="1"/>
    <col min="13321" max="13321" width="29.42578125" style="884" customWidth="1"/>
    <col min="13322" max="13322" width="16" style="884" customWidth="1"/>
    <col min="13323" max="13323" width="38.28515625" style="884" customWidth="1"/>
    <col min="13324" max="13324" width="12" style="884" customWidth="1"/>
    <col min="13325" max="13325" width="38.140625" style="884" customWidth="1"/>
    <col min="13326" max="13326" width="17.85546875" style="884" bestFit="1" customWidth="1"/>
    <col min="13327" max="13327" width="24.7109375" style="884" customWidth="1"/>
    <col min="13328" max="13328" width="36.42578125" style="884" customWidth="1"/>
    <col min="13329" max="13329" width="46.7109375" style="884" customWidth="1"/>
    <col min="13330" max="13330" width="43.7109375" style="884" customWidth="1"/>
    <col min="13331" max="13331" width="25.42578125" style="884" customWidth="1"/>
    <col min="13332" max="13332" width="12.42578125" style="884" customWidth="1"/>
    <col min="13333" max="13333" width="16.42578125" style="884" customWidth="1"/>
    <col min="13334" max="13334" width="13.42578125" style="884" customWidth="1"/>
    <col min="13335" max="13335" width="8.5703125" style="884" customWidth="1"/>
    <col min="13336" max="13339" width="11.42578125" style="884" customWidth="1"/>
    <col min="13340" max="13340" width="12.7109375" style="884" customWidth="1"/>
    <col min="13341" max="13341" width="11.85546875" style="884" customWidth="1"/>
    <col min="13342" max="13342" width="7.85546875" style="884" customWidth="1"/>
    <col min="13343" max="13343" width="7.5703125" style="884" customWidth="1"/>
    <col min="13344" max="13344" width="8.85546875" style="884" customWidth="1"/>
    <col min="13345" max="13345" width="8.140625" style="884" customWidth="1"/>
    <col min="13346" max="13346" width="7.85546875" style="884" customWidth="1"/>
    <col min="13347" max="13347" width="8.5703125" style="884" customWidth="1"/>
    <col min="13348" max="13348" width="8.28515625" style="884" customWidth="1"/>
    <col min="13349" max="13349" width="11.42578125" style="884" customWidth="1"/>
    <col min="13350" max="13350" width="18" style="884" customWidth="1"/>
    <col min="13351" max="13351" width="21.42578125" style="884" customWidth="1"/>
    <col min="13352" max="13352" width="27.85546875" style="884" customWidth="1"/>
    <col min="13353" max="13568" width="11.42578125" style="884"/>
    <col min="13569" max="13569" width="13.5703125" style="884" customWidth="1"/>
    <col min="13570" max="13570" width="19" style="884" customWidth="1"/>
    <col min="13571" max="13571" width="13.5703125" style="884" customWidth="1"/>
    <col min="13572" max="13572" width="19.7109375" style="884" customWidth="1"/>
    <col min="13573" max="13573" width="13.5703125" style="884" customWidth="1"/>
    <col min="13574" max="13575" width="14.7109375" style="884" customWidth="1"/>
    <col min="13576" max="13576" width="36.140625" style="884" customWidth="1"/>
    <col min="13577" max="13577" width="29.42578125" style="884" customWidth="1"/>
    <col min="13578" max="13578" width="16" style="884" customWidth="1"/>
    <col min="13579" max="13579" width="38.28515625" style="884" customWidth="1"/>
    <col min="13580" max="13580" width="12" style="884" customWidth="1"/>
    <col min="13581" max="13581" width="38.140625" style="884" customWidth="1"/>
    <col min="13582" max="13582" width="17.85546875" style="884" bestFit="1" customWidth="1"/>
    <col min="13583" max="13583" width="24.7109375" style="884" customWidth="1"/>
    <col min="13584" max="13584" width="36.42578125" style="884" customWidth="1"/>
    <col min="13585" max="13585" width="46.7109375" style="884" customWidth="1"/>
    <col min="13586" max="13586" width="43.7109375" style="884" customWidth="1"/>
    <col min="13587" max="13587" width="25.42578125" style="884" customWidth="1"/>
    <col min="13588" max="13588" width="12.42578125" style="884" customWidth="1"/>
    <col min="13589" max="13589" width="16.42578125" style="884" customWidth="1"/>
    <col min="13590" max="13590" width="13.42578125" style="884" customWidth="1"/>
    <col min="13591" max="13591" width="8.5703125" style="884" customWidth="1"/>
    <col min="13592" max="13595" width="11.42578125" style="884" customWidth="1"/>
    <col min="13596" max="13596" width="12.7109375" style="884" customWidth="1"/>
    <col min="13597" max="13597" width="11.85546875" style="884" customWidth="1"/>
    <col min="13598" max="13598" width="7.85546875" style="884" customWidth="1"/>
    <col min="13599" max="13599" width="7.5703125" style="884" customWidth="1"/>
    <col min="13600" max="13600" width="8.85546875" style="884" customWidth="1"/>
    <col min="13601" max="13601" width="8.140625" style="884" customWidth="1"/>
    <col min="13602" max="13602" width="7.85546875" style="884" customWidth="1"/>
    <col min="13603" max="13603" width="8.5703125" style="884" customWidth="1"/>
    <col min="13604" max="13604" width="8.28515625" style="884" customWidth="1"/>
    <col min="13605" max="13605" width="11.42578125" style="884" customWidth="1"/>
    <col min="13606" max="13606" width="18" style="884" customWidth="1"/>
    <col min="13607" max="13607" width="21.42578125" style="884" customWidth="1"/>
    <col min="13608" max="13608" width="27.85546875" style="884" customWidth="1"/>
    <col min="13609" max="13824" width="11.42578125" style="884"/>
    <col min="13825" max="13825" width="13.5703125" style="884" customWidth="1"/>
    <col min="13826" max="13826" width="19" style="884" customWidth="1"/>
    <col min="13827" max="13827" width="13.5703125" style="884" customWidth="1"/>
    <col min="13828" max="13828" width="19.7109375" style="884" customWidth="1"/>
    <col min="13829" max="13829" width="13.5703125" style="884" customWidth="1"/>
    <col min="13830" max="13831" width="14.7109375" style="884" customWidth="1"/>
    <col min="13832" max="13832" width="36.140625" style="884" customWidth="1"/>
    <col min="13833" max="13833" width="29.42578125" style="884" customWidth="1"/>
    <col min="13834" max="13834" width="16" style="884" customWidth="1"/>
    <col min="13835" max="13835" width="38.28515625" style="884" customWidth="1"/>
    <col min="13836" max="13836" width="12" style="884" customWidth="1"/>
    <col min="13837" max="13837" width="38.140625" style="884" customWidth="1"/>
    <col min="13838" max="13838" width="17.85546875" style="884" bestFit="1" customWidth="1"/>
    <col min="13839" max="13839" width="24.7109375" style="884" customWidth="1"/>
    <col min="13840" max="13840" width="36.42578125" style="884" customWidth="1"/>
    <col min="13841" max="13841" width="46.7109375" style="884" customWidth="1"/>
    <col min="13842" max="13842" width="43.7109375" style="884" customWidth="1"/>
    <col min="13843" max="13843" width="25.42578125" style="884" customWidth="1"/>
    <col min="13844" max="13844" width="12.42578125" style="884" customWidth="1"/>
    <col min="13845" max="13845" width="16.42578125" style="884" customWidth="1"/>
    <col min="13846" max="13846" width="13.42578125" style="884" customWidth="1"/>
    <col min="13847" max="13847" width="8.5703125" style="884" customWidth="1"/>
    <col min="13848" max="13851" width="11.42578125" style="884" customWidth="1"/>
    <col min="13852" max="13852" width="12.7109375" style="884" customWidth="1"/>
    <col min="13853" max="13853" width="11.85546875" style="884" customWidth="1"/>
    <col min="13854" max="13854" width="7.85546875" style="884" customWidth="1"/>
    <col min="13855" max="13855" width="7.5703125" style="884" customWidth="1"/>
    <col min="13856" max="13856" width="8.85546875" style="884" customWidth="1"/>
    <col min="13857" max="13857" width="8.140625" style="884" customWidth="1"/>
    <col min="13858" max="13858" width="7.85546875" style="884" customWidth="1"/>
    <col min="13859" max="13859" width="8.5703125" style="884" customWidth="1"/>
    <col min="13860" max="13860" width="8.28515625" style="884" customWidth="1"/>
    <col min="13861" max="13861" width="11.42578125" style="884" customWidth="1"/>
    <col min="13862" max="13862" width="18" style="884" customWidth="1"/>
    <col min="13863" max="13863" width="21.42578125" style="884" customWidth="1"/>
    <col min="13864" max="13864" width="27.85546875" style="884" customWidth="1"/>
    <col min="13865" max="14080" width="11.42578125" style="884"/>
    <col min="14081" max="14081" width="13.5703125" style="884" customWidth="1"/>
    <col min="14082" max="14082" width="19" style="884" customWidth="1"/>
    <col min="14083" max="14083" width="13.5703125" style="884" customWidth="1"/>
    <col min="14084" max="14084" width="19.7109375" style="884" customWidth="1"/>
    <col min="14085" max="14085" width="13.5703125" style="884" customWidth="1"/>
    <col min="14086" max="14087" width="14.7109375" style="884" customWidth="1"/>
    <col min="14088" max="14088" width="36.140625" style="884" customWidth="1"/>
    <col min="14089" max="14089" width="29.42578125" style="884" customWidth="1"/>
    <col min="14090" max="14090" width="16" style="884" customWidth="1"/>
    <col min="14091" max="14091" width="38.28515625" style="884" customWidth="1"/>
    <col min="14092" max="14092" width="12" style="884" customWidth="1"/>
    <col min="14093" max="14093" width="38.140625" style="884" customWidth="1"/>
    <col min="14094" max="14094" width="17.85546875" style="884" bestFit="1" customWidth="1"/>
    <col min="14095" max="14095" width="24.7109375" style="884" customWidth="1"/>
    <col min="14096" max="14096" width="36.42578125" style="884" customWidth="1"/>
    <col min="14097" max="14097" width="46.7109375" style="884" customWidth="1"/>
    <col min="14098" max="14098" width="43.7109375" style="884" customWidth="1"/>
    <col min="14099" max="14099" width="25.42578125" style="884" customWidth="1"/>
    <col min="14100" max="14100" width="12.42578125" style="884" customWidth="1"/>
    <col min="14101" max="14101" width="16.42578125" style="884" customWidth="1"/>
    <col min="14102" max="14102" width="13.42578125" style="884" customWidth="1"/>
    <col min="14103" max="14103" width="8.5703125" style="884" customWidth="1"/>
    <col min="14104" max="14107" width="11.42578125" style="884" customWidth="1"/>
    <col min="14108" max="14108" width="12.7109375" style="884" customWidth="1"/>
    <col min="14109" max="14109" width="11.85546875" style="884" customWidth="1"/>
    <col min="14110" max="14110" width="7.85546875" style="884" customWidth="1"/>
    <col min="14111" max="14111" width="7.5703125" style="884" customWidth="1"/>
    <col min="14112" max="14112" width="8.85546875" style="884" customWidth="1"/>
    <col min="14113" max="14113" width="8.140625" style="884" customWidth="1"/>
    <col min="14114" max="14114" width="7.85546875" style="884" customWidth="1"/>
    <col min="14115" max="14115" width="8.5703125" style="884" customWidth="1"/>
    <col min="14116" max="14116" width="8.28515625" style="884" customWidth="1"/>
    <col min="14117" max="14117" width="11.42578125" style="884" customWidth="1"/>
    <col min="14118" max="14118" width="18" style="884" customWidth="1"/>
    <col min="14119" max="14119" width="21.42578125" style="884" customWidth="1"/>
    <col min="14120" max="14120" width="27.85546875" style="884" customWidth="1"/>
    <col min="14121" max="14336" width="11.42578125" style="884"/>
    <col min="14337" max="14337" width="13.5703125" style="884" customWidth="1"/>
    <col min="14338" max="14338" width="19" style="884" customWidth="1"/>
    <col min="14339" max="14339" width="13.5703125" style="884" customWidth="1"/>
    <col min="14340" max="14340" width="19.7109375" style="884" customWidth="1"/>
    <col min="14341" max="14341" width="13.5703125" style="884" customWidth="1"/>
    <col min="14342" max="14343" width="14.7109375" style="884" customWidth="1"/>
    <col min="14344" max="14344" width="36.140625" style="884" customWidth="1"/>
    <col min="14345" max="14345" width="29.42578125" style="884" customWidth="1"/>
    <col min="14346" max="14346" width="16" style="884" customWidth="1"/>
    <col min="14347" max="14347" width="38.28515625" style="884" customWidth="1"/>
    <col min="14348" max="14348" width="12" style="884" customWidth="1"/>
    <col min="14349" max="14349" width="38.140625" style="884" customWidth="1"/>
    <col min="14350" max="14350" width="17.85546875" style="884" bestFit="1" customWidth="1"/>
    <col min="14351" max="14351" width="24.7109375" style="884" customWidth="1"/>
    <col min="14352" max="14352" width="36.42578125" style="884" customWidth="1"/>
    <col min="14353" max="14353" width="46.7109375" style="884" customWidth="1"/>
    <col min="14354" max="14354" width="43.7109375" style="884" customWidth="1"/>
    <col min="14355" max="14355" width="25.42578125" style="884" customWidth="1"/>
    <col min="14356" max="14356" width="12.42578125" style="884" customWidth="1"/>
    <col min="14357" max="14357" width="16.42578125" style="884" customWidth="1"/>
    <col min="14358" max="14358" width="13.42578125" style="884" customWidth="1"/>
    <col min="14359" max="14359" width="8.5703125" style="884" customWidth="1"/>
    <col min="14360" max="14363" width="11.42578125" style="884" customWidth="1"/>
    <col min="14364" max="14364" width="12.7109375" style="884" customWidth="1"/>
    <col min="14365" max="14365" width="11.85546875" style="884" customWidth="1"/>
    <col min="14366" max="14366" width="7.85546875" style="884" customWidth="1"/>
    <col min="14367" max="14367" width="7.5703125" style="884" customWidth="1"/>
    <col min="14368" max="14368" width="8.85546875" style="884" customWidth="1"/>
    <col min="14369" max="14369" width="8.140625" style="884" customWidth="1"/>
    <col min="14370" max="14370" width="7.85546875" style="884" customWidth="1"/>
    <col min="14371" max="14371" width="8.5703125" style="884" customWidth="1"/>
    <col min="14372" max="14372" width="8.28515625" style="884" customWidth="1"/>
    <col min="14373" max="14373" width="11.42578125" style="884" customWidth="1"/>
    <col min="14374" max="14374" width="18" style="884" customWidth="1"/>
    <col min="14375" max="14375" width="21.42578125" style="884" customWidth="1"/>
    <col min="14376" max="14376" width="27.85546875" style="884" customWidth="1"/>
    <col min="14377" max="14592" width="11.42578125" style="884"/>
    <col min="14593" max="14593" width="13.5703125" style="884" customWidth="1"/>
    <col min="14594" max="14594" width="19" style="884" customWidth="1"/>
    <col min="14595" max="14595" width="13.5703125" style="884" customWidth="1"/>
    <col min="14596" max="14596" width="19.7109375" style="884" customWidth="1"/>
    <col min="14597" max="14597" width="13.5703125" style="884" customWidth="1"/>
    <col min="14598" max="14599" width="14.7109375" style="884" customWidth="1"/>
    <col min="14600" max="14600" width="36.140625" style="884" customWidth="1"/>
    <col min="14601" max="14601" width="29.42578125" style="884" customWidth="1"/>
    <col min="14602" max="14602" width="16" style="884" customWidth="1"/>
    <col min="14603" max="14603" width="38.28515625" style="884" customWidth="1"/>
    <col min="14604" max="14604" width="12" style="884" customWidth="1"/>
    <col min="14605" max="14605" width="38.140625" style="884" customWidth="1"/>
    <col min="14606" max="14606" width="17.85546875" style="884" bestFit="1" customWidth="1"/>
    <col min="14607" max="14607" width="24.7109375" style="884" customWidth="1"/>
    <col min="14608" max="14608" width="36.42578125" style="884" customWidth="1"/>
    <col min="14609" max="14609" width="46.7109375" style="884" customWidth="1"/>
    <col min="14610" max="14610" width="43.7109375" style="884" customWidth="1"/>
    <col min="14611" max="14611" width="25.42578125" style="884" customWidth="1"/>
    <col min="14612" max="14612" width="12.42578125" style="884" customWidth="1"/>
    <col min="14613" max="14613" width="16.42578125" style="884" customWidth="1"/>
    <col min="14614" max="14614" width="13.42578125" style="884" customWidth="1"/>
    <col min="14615" max="14615" width="8.5703125" style="884" customWidth="1"/>
    <col min="14616" max="14619" width="11.42578125" style="884" customWidth="1"/>
    <col min="14620" max="14620" width="12.7109375" style="884" customWidth="1"/>
    <col min="14621" max="14621" width="11.85546875" style="884" customWidth="1"/>
    <col min="14622" max="14622" width="7.85546875" style="884" customWidth="1"/>
    <col min="14623" max="14623" width="7.5703125" style="884" customWidth="1"/>
    <col min="14624" max="14624" width="8.85546875" style="884" customWidth="1"/>
    <col min="14625" max="14625" width="8.140625" style="884" customWidth="1"/>
    <col min="14626" max="14626" width="7.85546875" style="884" customWidth="1"/>
    <col min="14627" max="14627" width="8.5703125" style="884" customWidth="1"/>
    <col min="14628" max="14628" width="8.28515625" style="884" customWidth="1"/>
    <col min="14629" max="14629" width="11.42578125" style="884" customWidth="1"/>
    <col min="14630" max="14630" width="18" style="884" customWidth="1"/>
    <col min="14631" max="14631" width="21.42578125" style="884" customWidth="1"/>
    <col min="14632" max="14632" width="27.85546875" style="884" customWidth="1"/>
    <col min="14633" max="14848" width="11.42578125" style="884"/>
    <col min="14849" max="14849" width="13.5703125" style="884" customWidth="1"/>
    <col min="14850" max="14850" width="19" style="884" customWidth="1"/>
    <col min="14851" max="14851" width="13.5703125" style="884" customWidth="1"/>
    <col min="14852" max="14852" width="19.7109375" style="884" customWidth="1"/>
    <col min="14853" max="14853" width="13.5703125" style="884" customWidth="1"/>
    <col min="14854" max="14855" width="14.7109375" style="884" customWidth="1"/>
    <col min="14856" max="14856" width="36.140625" style="884" customWidth="1"/>
    <col min="14857" max="14857" width="29.42578125" style="884" customWidth="1"/>
    <col min="14858" max="14858" width="16" style="884" customWidth="1"/>
    <col min="14859" max="14859" width="38.28515625" style="884" customWidth="1"/>
    <col min="14860" max="14860" width="12" style="884" customWidth="1"/>
    <col min="14861" max="14861" width="38.140625" style="884" customWidth="1"/>
    <col min="14862" max="14862" width="17.85546875" style="884" bestFit="1" customWidth="1"/>
    <col min="14863" max="14863" width="24.7109375" style="884" customWidth="1"/>
    <col min="14864" max="14864" width="36.42578125" style="884" customWidth="1"/>
    <col min="14865" max="14865" width="46.7109375" style="884" customWidth="1"/>
    <col min="14866" max="14866" width="43.7109375" style="884" customWidth="1"/>
    <col min="14867" max="14867" width="25.42578125" style="884" customWidth="1"/>
    <col min="14868" max="14868" width="12.42578125" style="884" customWidth="1"/>
    <col min="14869" max="14869" width="16.42578125" style="884" customWidth="1"/>
    <col min="14870" max="14870" width="13.42578125" style="884" customWidth="1"/>
    <col min="14871" max="14871" width="8.5703125" style="884" customWidth="1"/>
    <col min="14872" max="14875" width="11.42578125" style="884" customWidth="1"/>
    <col min="14876" max="14876" width="12.7109375" style="884" customWidth="1"/>
    <col min="14877" max="14877" width="11.85546875" style="884" customWidth="1"/>
    <col min="14878" max="14878" width="7.85546875" style="884" customWidth="1"/>
    <col min="14879" max="14879" width="7.5703125" style="884" customWidth="1"/>
    <col min="14880" max="14880" width="8.85546875" style="884" customWidth="1"/>
    <col min="14881" max="14881" width="8.140625" style="884" customWidth="1"/>
    <col min="14882" max="14882" width="7.85546875" style="884" customWidth="1"/>
    <col min="14883" max="14883" width="8.5703125" style="884" customWidth="1"/>
    <col min="14884" max="14884" width="8.28515625" style="884" customWidth="1"/>
    <col min="14885" max="14885" width="11.42578125" style="884" customWidth="1"/>
    <col min="14886" max="14886" width="18" style="884" customWidth="1"/>
    <col min="14887" max="14887" width="21.42578125" style="884" customWidth="1"/>
    <col min="14888" max="14888" width="27.85546875" style="884" customWidth="1"/>
    <col min="14889" max="15104" width="11.42578125" style="884"/>
    <col min="15105" max="15105" width="13.5703125" style="884" customWidth="1"/>
    <col min="15106" max="15106" width="19" style="884" customWidth="1"/>
    <col min="15107" max="15107" width="13.5703125" style="884" customWidth="1"/>
    <col min="15108" max="15108" width="19.7109375" style="884" customWidth="1"/>
    <col min="15109" max="15109" width="13.5703125" style="884" customWidth="1"/>
    <col min="15110" max="15111" width="14.7109375" style="884" customWidth="1"/>
    <col min="15112" max="15112" width="36.140625" style="884" customWidth="1"/>
    <col min="15113" max="15113" width="29.42578125" style="884" customWidth="1"/>
    <col min="15114" max="15114" width="16" style="884" customWidth="1"/>
    <col min="15115" max="15115" width="38.28515625" style="884" customWidth="1"/>
    <col min="15116" max="15116" width="12" style="884" customWidth="1"/>
    <col min="15117" max="15117" width="38.140625" style="884" customWidth="1"/>
    <col min="15118" max="15118" width="17.85546875" style="884" bestFit="1" customWidth="1"/>
    <col min="15119" max="15119" width="24.7109375" style="884" customWidth="1"/>
    <col min="15120" max="15120" width="36.42578125" style="884" customWidth="1"/>
    <col min="15121" max="15121" width="46.7109375" style="884" customWidth="1"/>
    <col min="15122" max="15122" width="43.7109375" style="884" customWidth="1"/>
    <col min="15123" max="15123" width="25.42578125" style="884" customWidth="1"/>
    <col min="15124" max="15124" width="12.42578125" style="884" customWidth="1"/>
    <col min="15125" max="15125" width="16.42578125" style="884" customWidth="1"/>
    <col min="15126" max="15126" width="13.42578125" style="884" customWidth="1"/>
    <col min="15127" max="15127" width="8.5703125" style="884" customWidth="1"/>
    <col min="15128" max="15131" width="11.42578125" style="884" customWidth="1"/>
    <col min="15132" max="15132" width="12.7109375" style="884" customWidth="1"/>
    <col min="15133" max="15133" width="11.85546875" style="884" customWidth="1"/>
    <col min="15134" max="15134" width="7.85546875" style="884" customWidth="1"/>
    <col min="15135" max="15135" width="7.5703125" style="884" customWidth="1"/>
    <col min="15136" max="15136" width="8.85546875" style="884" customWidth="1"/>
    <col min="15137" max="15137" width="8.140625" style="884" customWidth="1"/>
    <col min="15138" max="15138" width="7.85546875" style="884" customWidth="1"/>
    <col min="15139" max="15139" width="8.5703125" style="884" customWidth="1"/>
    <col min="15140" max="15140" width="8.28515625" style="884" customWidth="1"/>
    <col min="15141" max="15141" width="11.42578125" style="884" customWidth="1"/>
    <col min="15142" max="15142" width="18" style="884" customWidth="1"/>
    <col min="15143" max="15143" width="21.42578125" style="884" customWidth="1"/>
    <col min="15144" max="15144" width="27.85546875" style="884" customWidth="1"/>
    <col min="15145" max="15360" width="11.42578125" style="884"/>
    <col min="15361" max="15361" width="13.5703125" style="884" customWidth="1"/>
    <col min="15362" max="15362" width="19" style="884" customWidth="1"/>
    <col min="15363" max="15363" width="13.5703125" style="884" customWidth="1"/>
    <col min="15364" max="15364" width="19.7109375" style="884" customWidth="1"/>
    <col min="15365" max="15365" width="13.5703125" style="884" customWidth="1"/>
    <col min="15366" max="15367" width="14.7109375" style="884" customWidth="1"/>
    <col min="15368" max="15368" width="36.140625" style="884" customWidth="1"/>
    <col min="15369" max="15369" width="29.42578125" style="884" customWidth="1"/>
    <col min="15370" max="15370" width="16" style="884" customWidth="1"/>
    <col min="15371" max="15371" width="38.28515625" style="884" customWidth="1"/>
    <col min="15372" max="15372" width="12" style="884" customWidth="1"/>
    <col min="15373" max="15373" width="38.140625" style="884" customWidth="1"/>
    <col min="15374" max="15374" width="17.85546875" style="884" bestFit="1" customWidth="1"/>
    <col min="15375" max="15375" width="24.7109375" style="884" customWidth="1"/>
    <col min="15376" max="15376" width="36.42578125" style="884" customWidth="1"/>
    <col min="15377" max="15377" width="46.7109375" style="884" customWidth="1"/>
    <col min="15378" max="15378" width="43.7109375" style="884" customWidth="1"/>
    <col min="15379" max="15379" width="25.42578125" style="884" customWidth="1"/>
    <col min="15380" max="15380" width="12.42578125" style="884" customWidth="1"/>
    <col min="15381" max="15381" width="16.42578125" style="884" customWidth="1"/>
    <col min="15382" max="15382" width="13.42578125" style="884" customWidth="1"/>
    <col min="15383" max="15383" width="8.5703125" style="884" customWidth="1"/>
    <col min="15384" max="15387" width="11.42578125" style="884" customWidth="1"/>
    <col min="15388" max="15388" width="12.7109375" style="884" customWidth="1"/>
    <col min="15389" max="15389" width="11.85546875" style="884" customWidth="1"/>
    <col min="15390" max="15390" width="7.85546875" style="884" customWidth="1"/>
    <col min="15391" max="15391" width="7.5703125" style="884" customWidth="1"/>
    <col min="15392" max="15392" width="8.85546875" style="884" customWidth="1"/>
    <col min="15393" max="15393" width="8.140625" style="884" customWidth="1"/>
    <col min="15394" max="15394" width="7.85546875" style="884" customWidth="1"/>
    <col min="15395" max="15395" width="8.5703125" style="884" customWidth="1"/>
    <col min="15396" max="15396" width="8.28515625" style="884" customWidth="1"/>
    <col min="15397" max="15397" width="11.42578125" style="884" customWidth="1"/>
    <col min="15398" max="15398" width="18" style="884" customWidth="1"/>
    <col min="15399" max="15399" width="21.42578125" style="884" customWidth="1"/>
    <col min="15400" max="15400" width="27.85546875" style="884" customWidth="1"/>
    <col min="15401" max="15616" width="11.42578125" style="884"/>
    <col min="15617" max="15617" width="13.5703125" style="884" customWidth="1"/>
    <col min="15618" max="15618" width="19" style="884" customWidth="1"/>
    <col min="15619" max="15619" width="13.5703125" style="884" customWidth="1"/>
    <col min="15620" max="15620" width="19.7109375" style="884" customWidth="1"/>
    <col min="15621" max="15621" width="13.5703125" style="884" customWidth="1"/>
    <col min="15622" max="15623" width="14.7109375" style="884" customWidth="1"/>
    <col min="15624" max="15624" width="36.140625" style="884" customWidth="1"/>
    <col min="15625" max="15625" width="29.42578125" style="884" customWidth="1"/>
    <col min="15626" max="15626" width="16" style="884" customWidth="1"/>
    <col min="15627" max="15627" width="38.28515625" style="884" customWidth="1"/>
    <col min="15628" max="15628" width="12" style="884" customWidth="1"/>
    <col min="15629" max="15629" width="38.140625" style="884" customWidth="1"/>
    <col min="15630" max="15630" width="17.85546875" style="884" bestFit="1" customWidth="1"/>
    <col min="15631" max="15631" width="24.7109375" style="884" customWidth="1"/>
    <col min="15632" max="15632" width="36.42578125" style="884" customWidth="1"/>
    <col min="15633" max="15633" width="46.7109375" style="884" customWidth="1"/>
    <col min="15634" max="15634" width="43.7109375" style="884" customWidth="1"/>
    <col min="15635" max="15635" width="25.42578125" style="884" customWidth="1"/>
    <col min="15636" max="15636" width="12.42578125" style="884" customWidth="1"/>
    <col min="15637" max="15637" width="16.42578125" style="884" customWidth="1"/>
    <col min="15638" max="15638" width="13.42578125" style="884" customWidth="1"/>
    <col min="15639" max="15639" width="8.5703125" style="884" customWidth="1"/>
    <col min="15640" max="15643" width="11.42578125" style="884" customWidth="1"/>
    <col min="15644" max="15644" width="12.7109375" style="884" customWidth="1"/>
    <col min="15645" max="15645" width="11.85546875" style="884" customWidth="1"/>
    <col min="15646" max="15646" width="7.85546875" style="884" customWidth="1"/>
    <col min="15647" max="15647" width="7.5703125" style="884" customWidth="1"/>
    <col min="15648" max="15648" width="8.85546875" style="884" customWidth="1"/>
    <col min="15649" max="15649" width="8.140625" style="884" customWidth="1"/>
    <col min="15650" max="15650" width="7.85546875" style="884" customWidth="1"/>
    <col min="15651" max="15651" width="8.5703125" style="884" customWidth="1"/>
    <col min="15652" max="15652" width="8.28515625" style="884" customWidth="1"/>
    <col min="15653" max="15653" width="11.42578125" style="884" customWidth="1"/>
    <col min="15654" max="15654" width="18" style="884" customWidth="1"/>
    <col min="15655" max="15655" width="21.42578125" style="884" customWidth="1"/>
    <col min="15656" max="15656" width="27.85546875" style="884" customWidth="1"/>
    <col min="15657" max="15872" width="11.42578125" style="884"/>
    <col min="15873" max="15873" width="13.5703125" style="884" customWidth="1"/>
    <col min="15874" max="15874" width="19" style="884" customWidth="1"/>
    <col min="15875" max="15875" width="13.5703125" style="884" customWidth="1"/>
    <col min="15876" max="15876" width="19.7109375" style="884" customWidth="1"/>
    <col min="15877" max="15877" width="13.5703125" style="884" customWidth="1"/>
    <col min="15878" max="15879" width="14.7109375" style="884" customWidth="1"/>
    <col min="15880" max="15880" width="36.140625" style="884" customWidth="1"/>
    <col min="15881" max="15881" width="29.42578125" style="884" customWidth="1"/>
    <col min="15882" max="15882" width="16" style="884" customWidth="1"/>
    <col min="15883" max="15883" width="38.28515625" style="884" customWidth="1"/>
    <col min="15884" max="15884" width="12" style="884" customWidth="1"/>
    <col min="15885" max="15885" width="38.140625" style="884" customWidth="1"/>
    <col min="15886" max="15886" width="17.85546875" style="884" bestFit="1" customWidth="1"/>
    <col min="15887" max="15887" width="24.7109375" style="884" customWidth="1"/>
    <col min="15888" max="15888" width="36.42578125" style="884" customWidth="1"/>
    <col min="15889" max="15889" width="46.7109375" style="884" customWidth="1"/>
    <col min="15890" max="15890" width="43.7109375" style="884" customWidth="1"/>
    <col min="15891" max="15891" width="25.42578125" style="884" customWidth="1"/>
    <col min="15892" max="15892" width="12.42578125" style="884" customWidth="1"/>
    <col min="15893" max="15893" width="16.42578125" style="884" customWidth="1"/>
    <col min="15894" max="15894" width="13.42578125" style="884" customWidth="1"/>
    <col min="15895" max="15895" width="8.5703125" style="884" customWidth="1"/>
    <col min="15896" max="15899" width="11.42578125" style="884" customWidth="1"/>
    <col min="15900" max="15900" width="12.7109375" style="884" customWidth="1"/>
    <col min="15901" max="15901" width="11.85546875" style="884" customWidth="1"/>
    <col min="15902" max="15902" width="7.85546875" style="884" customWidth="1"/>
    <col min="15903" max="15903" width="7.5703125" style="884" customWidth="1"/>
    <col min="15904" max="15904" width="8.85546875" style="884" customWidth="1"/>
    <col min="15905" max="15905" width="8.140625" style="884" customWidth="1"/>
    <col min="15906" max="15906" width="7.85546875" style="884" customWidth="1"/>
    <col min="15907" max="15907" width="8.5703125" style="884" customWidth="1"/>
    <col min="15908" max="15908" width="8.28515625" style="884" customWidth="1"/>
    <col min="15909" max="15909" width="11.42578125" style="884" customWidth="1"/>
    <col min="15910" max="15910" width="18" style="884" customWidth="1"/>
    <col min="15911" max="15911" width="21.42578125" style="884" customWidth="1"/>
    <col min="15912" max="15912" width="27.85546875" style="884" customWidth="1"/>
    <col min="15913" max="16128" width="11.42578125" style="884"/>
    <col min="16129" max="16129" width="13.5703125" style="884" customWidth="1"/>
    <col min="16130" max="16130" width="19" style="884" customWidth="1"/>
    <col min="16131" max="16131" width="13.5703125" style="884" customWidth="1"/>
    <col min="16132" max="16132" width="19.7109375" style="884" customWidth="1"/>
    <col min="16133" max="16133" width="13.5703125" style="884" customWidth="1"/>
    <col min="16134" max="16135" width="14.7109375" style="884" customWidth="1"/>
    <col min="16136" max="16136" width="36.140625" style="884" customWidth="1"/>
    <col min="16137" max="16137" width="29.42578125" style="884" customWidth="1"/>
    <col min="16138" max="16138" width="16" style="884" customWidth="1"/>
    <col min="16139" max="16139" width="38.28515625" style="884" customWidth="1"/>
    <col min="16140" max="16140" width="12" style="884" customWidth="1"/>
    <col min="16141" max="16141" width="38.140625" style="884" customWidth="1"/>
    <col min="16142" max="16142" width="17.85546875" style="884" bestFit="1" customWidth="1"/>
    <col min="16143" max="16143" width="24.7109375" style="884" customWidth="1"/>
    <col min="16144" max="16144" width="36.42578125" style="884" customWidth="1"/>
    <col min="16145" max="16145" width="46.7109375" style="884" customWidth="1"/>
    <col min="16146" max="16146" width="43.7109375" style="884" customWidth="1"/>
    <col min="16147" max="16147" width="25.42578125" style="884" customWidth="1"/>
    <col min="16148" max="16148" width="12.42578125" style="884" customWidth="1"/>
    <col min="16149" max="16149" width="16.42578125" style="884" customWidth="1"/>
    <col min="16150" max="16150" width="13.42578125" style="884" customWidth="1"/>
    <col min="16151" max="16151" width="8.5703125" style="884" customWidth="1"/>
    <col min="16152" max="16155" width="11.42578125" style="884" customWidth="1"/>
    <col min="16156" max="16156" width="12.7109375" style="884" customWidth="1"/>
    <col min="16157" max="16157" width="11.85546875" style="884" customWidth="1"/>
    <col min="16158" max="16158" width="7.85546875" style="884" customWidth="1"/>
    <col min="16159" max="16159" width="7.5703125" style="884" customWidth="1"/>
    <col min="16160" max="16160" width="8.85546875" style="884" customWidth="1"/>
    <col min="16161" max="16161" width="8.140625" style="884" customWidth="1"/>
    <col min="16162" max="16162" width="7.85546875" style="884" customWidth="1"/>
    <col min="16163" max="16163" width="8.5703125" style="884" customWidth="1"/>
    <col min="16164" max="16164" width="8.28515625" style="884" customWidth="1"/>
    <col min="16165" max="16165" width="11.42578125" style="884" customWidth="1"/>
    <col min="16166" max="16166" width="18" style="884" customWidth="1"/>
    <col min="16167" max="16167" width="21.42578125" style="884" customWidth="1"/>
    <col min="16168" max="16168" width="27.85546875" style="884" customWidth="1"/>
    <col min="16169" max="16384" width="11.42578125" style="884"/>
  </cols>
  <sheetData>
    <row r="1" spans="1:40" s="876" customFormat="1" ht="17.25" customHeight="1" x14ac:dyDescent="0.25">
      <c r="A1" s="3957" t="s">
        <v>739</v>
      </c>
      <c r="B1" s="3957"/>
      <c r="C1" s="3957"/>
      <c r="D1" s="3957"/>
      <c r="E1" s="3957"/>
      <c r="F1" s="3957"/>
      <c r="G1" s="3957"/>
      <c r="H1" s="3957"/>
      <c r="I1" s="3957"/>
      <c r="J1" s="3957"/>
      <c r="K1" s="3957"/>
      <c r="L1" s="3957"/>
      <c r="M1" s="3957"/>
      <c r="N1" s="3957"/>
      <c r="O1" s="3957"/>
      <c r="P1" s="3957"/>
      <c r="Q1" s="3957"/>
      <c r="R1" s="3957"/>
      <c r="S1" s="3957"/>
      <c r="T1" s="3957"/>
      <c r="U1" s="3957"/>
      <c r="V1" s="3957"/>
      <c r="W1" s="3957"/>
      <c r="X1" s="3957"/>
      <c r="Y1" s="3957"/>
      <c r="Z1" s="3957"/>
      <c r="AA1" s="3957"/>
      <c r="AB1" s="3957"/>
      <c r="AC1" s="3957"/>
      <c r="AD1" s="3957"/>
      <c r="AE1" s="3957"/>
      <c r="AF1" s="3957"/>
      <c r="AG1" s="3957"/>
      <c r="AH1" s="3957"/>
      <c r="AI1" s="3957"/>
      <c r="AJ1" s="3957"/>
      <c r="AK1" s="3957"/>
      <c r="AL1" s="3958"/>
      <c r="AM1" s="875" t="s">
        <v>1</v>
      </c>
      <c r="AN1" s="875" t="s">
        <v>122</v>
      </c>
    </row>
    <row r="2" spans="1:40" s="876" customFormat="1" ht="15.75" x14ac:dyDescent="0.25">
      <c r="A2" s="3957"/>
      <c r="B2" s="3957"/>
      <c r="C2" s="3957"/>
      <c r="D2" s="3957"/>
      <c r="E2" s="3957"/>
      <c r="F2" s="3957"/>
      <c r="G2" s="3957"/>
      <c r="H2" s="3957"/>
      <c r="I2" s="3957"/>
      <c r="J2" s="3957"/>
      <c r="K2" s="3957"/>
      <c r="L2" s="3957"/>
      <c r="M2" s="3957"/>
      <c r="N2" s="3957"/>
      <c r="O2" s="3957"/>
      <c r="P2" s="3957"/>
      <c r="Q2" s="3957"/>
      <c r="R2" s="3957"/>
      <c r="S2" s="3957"/>
      <c r="T2" s="3957"/>
      <c r="U2" s="3957"/>
      <c r="V2" s="3957"/>
      <c r="W2" s="3957"/>
      <c r="X2" s="3957"/>
      <c r="Y2" s="3957"/>
      <c r="Z2" s="3957"/>
      <c r="AA2" s="3957"/>
      <c r="AB2" s="3957"/>
      <c r="AC2" s="3957"/>
      <c r="AD2" s="3957"/>
      <c r="AE2" s="3957"/>
      <c r="AF2" s="3957"/>
      <c r="AG2" s="3957"/>
      <c r="AH2" s="3957"/>
      <c r="AI2" s="3957"/>
      <c r="AJ2" s="3957"/>
      <c r="AK2" s="3957"/>
      <c r="AL2" s="3958"/>
      <c r="AM2" s="877" t="s">
        <v>3</v>
      </c>
      <c r="AN2" s="875" t="s">
        <v>123</v>
      </c>
    </row>
    <row r="3" spans="1:40" s="876" customFormat="1" ht="24.75" customHeight="1" x14ac:dyDescent="0.25">
      <c r="A3" s="3957"/>
      <c r="B3" s="3957"/>
      <c r="C3" s="3957"/>
      <c r="D3" s="3957"/>
      <c r="E3" s="3957"/>
      <c r="F3" s="3957"/>
      <c r="G3" s="3957"/>
      <c r="H3" s="3957"/>
      <c r="I3" s="3957"/>
      <c r="J3" s="3957"/>
      <c r="K3" s="3957"/>
      <c r="L3" s="3957"/>
      <c r="M3" s="3957"/>
      <c r="N3" s="3957"/>
      <c r="O3" s="3957"/>
      <c r="P3" s="3957"/>
      <c r="Q3" s="3957"/>
      <c r="R3" s="3957"/>
      <c r="S3" s="3957"/>
      <c r="T3" s="3957"/>
      <c r="U3" s="3957"/>
      <c r="V3" s="3957"/>
      <c r="W3" s="3957"/>
      <c r="X3" s="3957"/>
      <c r="Y3" s="3957"/>
      <c r="Z3" s="3957"/>
      <c r="AA3" s="3957"/>
      <c r="AB3" s="3957"/>
      <c r="AC3" s="3957"/>
      <c r="AD3" s="3957"/>
      <c r="AE3" s="3957"/>
      <c r="AF3" s="3957"/>
      <c r="AG3" s="3957"/>
      <c r="AH3" s="3957"/>
      <c r="AI3" s="3957"/>
      <c r="AJ3" s="3957"/>
      <c r="AK3" s="3957"/>
      <c r="AL3" s="3958"/>
      <c r="AM3" s="875" t="s">
        <v>5</v>
      </c>
      <c r="AN3" s="878" t="s">
        <v>6</v>
      </c>
    </row>
    <row r="4" spans="1:40" s="876" customFormat="1" ht="18.75" customHeight="1" x14ac:dyDescent="0.25">
      <c r="A4" s="3959"/>
      <c r="B4" s="3959"/>
      <c r="C4" s="3959"/>
      <c r="D4" s="3959"/>
      <c r="E4" s="3959"/>
      <c r="F4" s="3959"/>
      <c r="G4" s="3959"/>
      <c r="H4" s="3959"/>
      <c r="I4" s="3959"/>
      <c r="J4" s="3959"/>
      <c r="K4" s="3959"/>
      <c r="L4" s="3959"/>
      <c r="M4" s="3959"/>
      <c r="N4" s="3959"/>
      <c r="O4" s="3959"/>
      <c r="P4" s="3959"/>
      <c r="Q4" s="3959"/>
      <c r="R4" s="3959"/>
      <c r="S4" s="3959"/>
      <c r="T4" s="3959"/>
      <c r="U4" s="3959"/>
      <c r="V4" s="3959"/>
      <c r="W4" s="3959"/>
      <c r="X4" s="3959"/>
      <c r="Y4" s="3959"/>
      <c r="Z4" s="3959"/>
      <c r="AA4" s="3959"/>
      <c r="AB4" s="3959"/>
      <c r="AC4" s="3959"/>
      <c r="AD4" s="3959"/>
      <c r="AE4" s="3959"/>
      <c r="AF4" s="3959"/>
      <c r="AG4" s="3959"/>
      <c r="AH4" s="3959"/>
      <c r="AI4" s="3959"/>
      <c r="AJ4" s="3959"/>
      <c r="AK4" s="3959"/>
      <c r="AL4" s="3960"/>
      <c r="AM4" s="875" t="s">
        <v>7</v>
      </c>
      <c r="AN4" s="879" t="s">
        <v>8</v>
      </c>
    </row>
    <row r="5" spans="1:40" s="876" customFormat="1" ht="15.75" x14ac:dyDescent="0.25">
      <c r="A5" s="2592" t="s">
        <v>9</v>
      </c>
      <c r="B5" s="2592"/>
      <c r="C5" s="2592"/>
      <c r="D5" s="2592"/>
      <c r="E5" s="2592"/>
      <c r="F5" s="2592"/>
      <c r="G5" s="2592"/>
      <c r="H5" s="2592"/>
      <c r="I5" s="2592"/>
      <c r="J5" s="2592"/>
      <c r="K5" s="2592"/>
      <c r="L5" s="2592"/>
      <c r="M5" s="3961"/>
      <c r="N5" s="3962" t="s">
        <v>10</v>
      </c>
      <c r="O5" s="3963"/>
      <c r="P5" s="3963"/>
      <c r="Q5" s="3963"/>
      <c r="R5" s="3963"/>
      <c r="S5" s="3963"/>
      <c r="T5" s="3963"/>
      <c r="U5" s="3963"/>
      <c r="V5" s="3963"/>
      <c r="W5" s="3963"/>
      <c r="X5" s="3963"/>
      <c r="Y5" s="3963"/>
      <c r="Z5" s="3963"/>
      <c r="AA5" s="3963"/>
      <c r="AB5" s="3963"/>
      <c r="AC5" s="3963"/>
      <c r="AD5" s="3963"/>
      <c r="AE5" s="3963"/>
      <c r="AF5" s="3963"/>
      <c r="AG5" s="3963"/>
      <c r="AH5" s="3963"/>
      <c r="AI5" s="3963"/>
      <c r="AJ5" s="3963"/>
      <c r="AK5" s="3963"/>
      <c r="AL5" s="3963"/>
      <c r="AM5" s="3963"/>
      <c r="AN5" s="3964"/>
    </row>
    <row r="6" spans="1:40" s="876" customFormat="1" ht="15.75" x14ac:dyDescent="0.25">
      <c r="A6" s="2801"/>
      <c r="B6" s="2801"/>
      <c r="C6" s="2801"/>
      <c r="D6" s="2801"/>
      <c r="E6" s="2801"/>
      <c r="F6" s="2801"/>
      <c r="G6" s="2801"/>
      <c r="H6" s="2801"/>
      <c r="I6" s="2801"/>
      <c r="J6" s="2801"/>
      <c r="K6" s="2801"/>
      <c r="L6" s="2801"/>
      <c r="M6" s="2804"/>
      <c r="N6" s="880"/>
      <c r="O6" s="881"/>
      <c r="P6" s="881"/>
      <c r="Q6" s="881"/>
      <c r="R6" s="881"/>
      <c r="S6" s="881"/>
      <c r="T6" s="881"/>
      <c r="U6" s="881"/>
      <c r="V6" s="881"/>
      <c r="W6" s="881"/>
      <c r="X6" s="881"/>
      <c r="Y6" s="880" t="s">
        <v>11</v>
      </c>
      <c r="Z6" s="881"/>
      <c r="AA6" s="881"/>
      <c r="AB6" s="881"/>
      <c r="AC6" s="881"/>
      <c r="AD6" s="881"/>
      <c r="AE6" s="881"/>
      <c r="AF6" s="881"/>
      <c r="AG6" s="881"/>
      <c r="AH6" s="881"/>
      <c r="AI6" s="881"/>
      <c r="AJ6" s="881"/>
      <c r="AK6" s="881"/>
      <c r="AL6" s="881"/>
      <c r="AM6" s="881"/>
      <c r="AN6" s="882"/>
    </row>
    <row r="7" spans="1:40" ht="24.75" customHeight="1" x14ac:dyDescent="0.2">
      <c r="A7" s="3965" t="s">
        <v>12</v>
      </c>
      <c r="B7" s="3955" t="s">
        <v>13</v>
      </c>
      <c r="C7" s="3955" t="s">
        <v>12</v>
      </c>
      <c r="D7" s="3955" t="s">
        <v>14</v>
      </c>
      <c r="E7" s="3955" t="s">
        <v>12</v>
      </c>
      <c r="F7" s="3955" t="s">
        <v>15</v>
      </c>
      <c r="G7" s="3955" t="s">
        <v>12</v>
      </c>
      <c r="H7" s="3955" t="s">
        <v>16</v>
      </c>
      <c r="I7" s="3955" t="s">
        <v>17</v>
      </c>
      <c r="J7" s="3953" t="s">
        <v>740</v>
      </c>
      <c r="K7" s="3955" t="s">
        <v>19</v>
      </c>
      <c r="L7" s="3955" t="s">
        <v>741</v>
      </c>
      <c r="M7" s="3955" t="s">
        <v>10</v>
      </c>
      <c r="N7" s="3955" t="s">
        <v>21</v>
      </c>
      <c r="O7" s="3992" t="s">
        <v>22</v>
      </c>
      <c r="P7" s="3955" t="s">
        <v>23</v>
      </c>
      <c r="Q7" s="3955" t="s">
        <v>24</v>
      </c>
      <c r="R7" s="3955" t="s">
        <v>25</v>
      </c>
      <c r="S7" s="3994" t="s">
        <v>22</v>
      </c>
      <c r="T7" s="3955" t="s">
        <v>12</v>
      </c>
      <c r="U7" s="3955" t="s">
        <v>26</v>
      </c>
      <c r="V7" s="3991" t="s">
        <v>27</v>
      </c>
      <c r="W7" s="3991"/>
      <c r="X7" s="3991" t="s">
        <v>28</v>
      </c>
      <c r="Y7" s="3991"/>
      <c r="Z7" s="3991"/>
      <c r="AA7" s="3991"/>
      <c r="AB7" s="2612" t="s">
        <v>29</v>
      </c>
      <c r="AC7" s="2613"/>
      <c r="AD7" s="2613"/>
      <c r="AE7" s="2613"/>
      <c r="AF7" s="2613"/>
      <c r="AG7" s="2613"/>
      <c r="AH7" s="3991" t="s">
        <v>30</v>
      </c>
      <c r="AI7" s="3991"/>
      <c r="AJ7" s="3991"/>
      <c r="AK7" s="2807" t="s">
        <v>31</v>
      </c>
      <c r="AL7" s="3967" t="s">
        <v>32</v>
      </c>
      <c r="AM7" s="3968" t="s">
        <v>33</v>
      </c>
      <c r="AN7" s="3970" t="s">
        <v>34</v>
      </c>
    </row>
    <row r="8" spans="1:40" ht="151.5" customHeight="1" x14ac:dyDescent="0.2">
      <c r="A8" s="3966"/>
      <c r="B8" s="3956"/>
      <c r="C8" s="3956"/>
      <c r="D8" s="3956"/>
      <c r="E8" s="3956"/>
      <c r="F8" s="3956"/>
      <c r="G8" s="3956"/>
      <c r="H8" s="3956"/>
      <c r="I8" s="3956"/>
      <c r="J8" s="3954"/>
      <c r="K8" s="3956"/>
      <c r="L8" s="3956"/>
      <c r="M8" s="3956"/>
      <c r="N8" s="3956"/>
      <c r="O8" s="3993"/>
      <c r="P8" s="3956"/>
      <c r="Q8" s="3956"/>
      <c r="R8" s="3956"/>
      <c r="S8" s="3995"/>
      <c r="T8" s="3956"/>
      <c r="U8" s="3956"/>
      <c r="V8" s="885" t="s">
        <v>35</v>
      </c>
      <c r="W8" s="886" t="s">
        <v>36</v>
      </c>
      <c r="X8" s="885" t="s">
        <v>37</v>
      </c>
      <c r="Y8" s="885" t="s">
        <v>125</v>
      </c>
      <c r="Z8" s="885" t="s">
        <v>126</v>
      </c>
      <c r="AA8" s="885" t="s">
        <v>127</v>
      </c>
      <c r="AB8" s="885" t="s">
        <v>41</v>
      </c>
      <c r="AC8" s="885" t="s">
        <v>42</v>
      </c>
      <c r="AD8" s="885" t="s">
        <v>43</v>
      </c>
      <c r="AE8" s="885" t="s">
        <v>44</v>
      </c>
      <c r="AF8" s="885" t="s">
        <v>45</v>
      </c>
      <c r="AG8" s="885" t="s">
        <v>46</v>
      </c>
      <c r="AH8" s="885" t="s">
        <v>47</v>
      </c>
      <c r="AI8" s="885" t="s">
        <v>48</v>
      </c>
      <c r="AJ8" s="885" t="s">
        <v>49</v>
      </c>
      <c r="AK8" s="2808"/>
      <c r="AL8" s="3967"/>
      <c r="AM8" s="3969"/>
      <c r="AN8" s="3971"/>
    </row>
    <row r="9" spans="1:40" ht="23.25" customHeight="1" x14ac:dyDescent="0.2">
      <c r="A9" s="887">
        <v>3</v>
      </c>
      <c r="B9" s="888" t="s">
        <v>299</v>
      </c>
      <c r="C9" s="889"/>
      <c r="D9" s="889"/>
      <c r="E9" s="889"/>
      <c r="F9" s="889"/>
      <c r="G9" s="889"/>
      <c r="H9" s="890"/>
      <c r="I9" s="890"/>
      <c r="J9" s="889"/>
      <c r="K9" s="889"/>
      <c r="L9" s="889"/>
      <c r="M9" s="890"/>
      <c r="N9" s="889"/>
      <c r="O9" s="889"/>
      <c r="P9" s="890"/>
      <c r="Q9" s="890"/>
      <c r="R9" s="890"/>
      <c r="S9" s="891"/>
      <c r="T9" s="891"/>
      <c r="U9" s="891"/>
      <c r="V9" s="889"/>
      <c r="W9" s="889"/>
      <c r="X9" s="889"/>
      <c r="Y9" s="889"/>
      <c r="Z9" s="889"/>
      <c r="AA9" s="889"/>
      <c r="AB9" s="889"/>
      <c r="AC9" s="889"/>
      <c r="AD9" s="889"/>
      <c r="AE9" s="889"/>
      <c r="AF9" s="889"/>
      <c r="AG9" s="889"/>
      <c r="AH9" s="889"/>
      <c r="AI9" s="889"/>
      <c r="AJ9" s="889"/>
      <c r="AK9" s="889"/>
      <c r="AL9" s="889"/>
      <c r="AM9" s="889"/>
      <c r="AN9" s="892"/>
    </row>
    <row r="10" spans="1:40" ht="15.75" x14ac:dyDescent="0.2">
      <c r="A10" s="893"/>
      <c r="B10" s="894"/>
      <c r="C10" s="895">
        <v>16</v>
      </c>
      <c r="D10" s="896" t="s">
        <v>727</v>
      </c>
      <c r="E10" s="897"/>
      <c r="F10" s="897"/>
      <c r="G10" s="898"/>
      <c r="H10" s="899"/>
      <c r="I10" s="899"/>
      <c r="J10" s="898"/>
      <c r="K10" s="898"/>
      <c r="L10" s="898"/>
      <c r="M10" s="899"/>
      <c r="N10" s="898"/>
      <c r="O10" s="898"/>
      <c r="P10" s="899"/>
      <c r="Q10" s="899"/>
      <c r="R10" s="899"/>
      <c r="S10" s="900"/>
      <c r="T10" s="900"/>
      <c r="U10" s="900"/>
      <c r="V10" s="898"/>
      <c r="W10" s="898"/>
      <c r="X10" s="898"/>
      <c r="Y10" s="898"/>
      <c r="Z10" s="898"/>
      <c r="AA10" s="898"/>
      <c r="AB10" s="898"/>
      <c r="AC10" s="898"/>
      <c r="AD10" s="898"/>
      <c r="AE10" s="898"/>
      <c r="AF10" s="898"/>
      <c r="AG10" s="898"/>
      <c r="AH10" s="898"/>
      <c r="AI10" s="898"/>
      <c r="AJ10" s="898"/>
      <c r="AK10" s="898"/>
      <c r="AL10" s="898"/>
      <c r="AM10" s="898"/>
      <c r="AN10" s="901"/>
    </row>
    <row r="11" spans="1:40" ht="15.75" x14ac:dyDescent="0.2">
      <c r="A11" s="902"/>
      <c r="B11" s="903"/>
      <c r="C11" s="904"/>
      <c r="D11" s="903"/>
      <c r="E11" s="905">
        <v>56</v>
      </c>
      <c r="F11" s="906" t="s">
        <v>742</v>
      </c>
      <c r="G11" s="907"/>
      <c r="H11" s="908"/>
      <c r="I11" s="908"/>
      <c r="J11" s="907"/>
      <c r="K11" s="907"/>
      <c r="L11" s="907"/>
      <c r="M11" s="908"/>
      <c r="N11" s="907"/>
      <c r="O11" s="907"/>
      <c r="P11" s="908"/>
      <c r="Q11" s="908"/>
      <c r="R11" s="908"/>
      <c r="S11" s="909"/>
      <c r="T11" s="909"/>
      <c r="U11" s="909"/>
      <c r="V11" s="907"/>
      <c r="W11" s="907"/>
      <c r="X11" s="907"/>
      <c r="Y11" s="907"/>
      <c r="Z11" s="907"/>
      <c r="AA11" s="907"/>
      <c r="AB11" s="907"/>
      <c r="AC11" s="907"/>
      <c r="AD11" s="907"/>
      <c r="AE11" s="907"/>
      <c r="AF11" s="907"/>
      <c r="AG11" s="907"/>
      <c r="AH11" s="907"/>
      <c r="AI11" s="907"/>
      <c r="AJ11" s="907"/>
      <c r="AK11" s="907"/>
      <c r="AL11" s="907"/>
      <c r="AM11" s="907"/>
      <c r="AN11" s="910"/>
    </row>
    <row r="12" spans="1:40" ht="30" x14ac:dyDescent="0.2">
      <c r="A12" s="902"/>
      <c r="B12" s="903"/>
      <c r="C12" s="904"/>
      <c r="D12" s="903"/>
      <c r="E12" s="3972"/>
      <c r="F12" s="2762"/>
      <c r="G12" s="3976">
        <v>180</v>
      </c>
      <c r="H12" s="3979" t="s">
        <v>743</v>
      </c>
      <c r="I12" s="3982" t="s">
        <v>744</v>
      </c>
      <c r="J12" s="3985">
        <v>1</v>
      </c>
      <c r="K12" s="3988" t="s">
        <v>745</v>
      </c>
      <c r="L12" s="4002" t="s">
        <v>746</v>
      </c>
      <c r="M12" s="3980" t="s">
        <v>747</v>
      </c>
      <c r="N12" s="4005">
        <f>SUM(S12:S15)/O12</f>
        <v>0.69789227166276346</v>
      </c>
      <c r="O12" s="4008">
        <f>SUM(S12:S19)</f>
        <v>64050000</v>
      </c>
      <c r="P12" s="3979" t="s">
        <v>748</v>
      </c>
      <c r="Q12" s="2635" t="s">
        <v>749</v>
      </c>
      <c r="R12" s="911" t="s">
        <v>750</v>
      </c>
      <c r="S12" s="912">
        <v>28960000</v>
      </c>
      <c r="T12" s="2490" t="s">
        <v>61</v>
      </c>
      <c r="U12" s="2485" t="s">
        <v>357</v>
      </c>
      <c r="V12" s="3996">
        <v>1813</v>
      </c>
      <c r="W12" s="3996">
        <v>1887</v>
      </c>
      <c r="X12" s="3999">
        <v>2000</v>
      </c>
      <c r="Y12" s="3999">
        <v>700</v>
      </c>
      <c r="Z12" s="3999">
        <v>1000</v>
      </c>
      <c r="AA12" s="3999"/>
      <c r="AB12" s="3999"/>
      <c r="AC12" s="3999"/>
      <c r="AD12" s="3999"/>
      <c r="AE12" s="3999"/>
      <c r="AF12" s="3999"/>
      <c r="AG12" s="3999"/>
      <c r="AH12" s="3999"/>
      <c r="AI12" s="3999"/>
      <c r="AJ12" s="3999"/>
      <c r="AK12" s="3999">
        <f>X12+Y12+Z12</f>
        <v>3700</v>
      </c>
      <c r="AL12" s="4010">
        <v>43467</v>
      </c>
      <c r="AM12" s="4012">
        <v>43830</v>
      </c>
      <c r="AN12" s="2622" t="s">
        <v>751</v>
      </c>
    </row>
    <row r="13" spans="1:40" ht="30" x14ac:dyDescent="0.2">
      <c r="A13" s="902"/>
      <c r="B13" s="903"/>
      <c r="C13" s="904"/>
      <c r="D13" s="903"/>
      <c r="E13" s="3973"/>
      <c r="F13" s="3974"/>
      <c r="G13" s="3977"/>
      <c r="H13" s="3980"/>
      <c r="I13" s="3983"/>
      <c r="J13" s="3986"/>
      <c r="K13" s="3989"/>
      <c r="L13" s="4003"/>
      <c r="M13" s="3980"/>
      <c r="N13" s="4006"/>
      <c r="O13" s="4008"/>
      <c r="P13" s="3980"/>
      <c r="Q13" s="2636"/>
      <c r="R13" s="913" t="s">
        <v>752</v>
      </c>
      <c r="S13" s="912">
        <v>3500000</v>
      </c>
      <c r="T13" s="2490" t="s">
        <v>61</v>
      </c>
      <c r="U13" s="2485" t="s">
        <v>357</v>
      </c>
      <c r="V13" s="3997"/>
      <c r="W13" s="3997"/>
      <c r="X13" s="4000"/>
      <c r="Y13" s="4000"/>
      <c r="Z13" s="4000"/>
      <c r="AA13" s="4000"/>
      <c r="AB13" s="4000"/>
      <c r="AC13" s="4000"/>
      <c r="AD13" s="4000"/>
      <c r="AE13" s="4000"/>
      <c r="AF13" s="4000"/>
      <c r="AG13" s="4000"/>
      <c r="AH13" s="4000"/>
      <c r="AI13" s="4000"/>
      <c r="AJ13" s="4000"/>
      <c r="AK13" s="4000"/>
      <c r="AL13" s="4010"/>
      <c r="AM13" s="4012"/>
      <c r="AN13" s="2622"/>
    </row>
    <row r="14" spans="1:40" ht="30" x14ac:dyDescent="0.2">
      <c r="A14" s="902"/>
      <c r="B14" s="903"/>
      <c r="C14" s="904"/>
      <c r="D14" s="903"/>
      <c r="E14" s="3973"/>
      <c r="F14" s="3974"/>
      <c r="G14" s="3977"/>
      <c r="H14" s="3980"/>
      <c r="I14" s="3983"/>
      <c r="J14" s="3986"/>
      <c r="K14" s="3989"/>
      <c r="L14" s="4003"/>
      <c r="M14" s="3980"/>
      <c r="N14" s="4006"/>
      <c r="O14" s="4008"/>
      <c r="P14" s="3980"/>
      <c r="Q14" s="2636"/>
      <c r="R14" s="2495" t="s">
        <v>753</v>
      </c>
      <c r="S14" s="912">
        <v>4280000</v>
      </c>
      <c r="T14" s="2490" t="s">
        <v>61</v>
      </c>
      <c r="U14" s="2485" t="s">
        <v>357</v>
      </c>
      <c r="V14" s="3997"/>
      <c r="W14" s="3997"/>
      <c r="X14" s="4000"/>
      <c r="Y14" s="4000"/>
      <c r="Z14" s="4000"/>
      <c r="AA14" s="4000"/>
      <c r="AB14" s="4000"/>
      <c r="AC14" s="4000"/>
      <c r="AD14" s="4000"/>
      <c r="AE14" s="4000"/>
      <c r="AF14" s="4000"/>
      <c r="AG14" s="4000"/>
      <c r="AH14" s="4000"/>
      <c r="AI14" s="4000"/>
      <c r="AJ14" s="4000"/>
      <c r="AK14" s="4000"/>
      <c r="AL14" s="4010"/>
      <c r="AM14" s="4012"/>
      <c r="AN14" s="2622"/>
    </row>
    <row r="15" spans="1:40" ht="30" x14ac:dyDescent="0.2">
      <c r="A15" s="902"/>
      <c r="B15" s="903"/>
      <c r="C15" s="904"/>
      <c r="D15" s="903"/>
      <c r="E15" s="3973"/>
      <c r="F15" s="3974"/>
      <c r="G15" s="3978"/>
      <c r="H15" s="3981"/>
      <c r="I15" s="3984"/>
      <c r="J15" s="3987"/>
      <c r="K15" s="3989"/>
      <c r="L15" s="4003"/>
      <c r="M15" s="3980"/>
      <c r="N15" s="4007"/>
      <c r="O15" s="4008"/>
      <c r="P15" s="3980"/>
      <c r="Q15" s="2637"/>
      <c r="R15" s="2495" t="s">
        <v>754</v>
      </c>
      <c r="S15" s="912">
        <v>7960000</v>
      </c>
      <c r="T15" s="2490" t="s">
        <v>61</v>
      </c>
      <c r="U15" s="2485" t="s">
        <v>357</v>
      </c>
      <c r="V15" s="3997"/>
      <c r="W15" s="3997"/>
      <c r="X15" s="4000"/>
      <c r="Y15" s="4000"/>
      <c r="Z15" s="4000"/>
      <c r="AA15" s="4000"/>
      <c r="AB15" s="4000"/>
      <c r="AC15" s="4000"/>
      <c r="AD15" s="4000"/>
      <c r="AE15" s="4000"/>
      <c r="AF15" s="4000"/>
      <c r="AG15" s="4000"/>
      <c r="AH15" s="4000"/>
      <c r="AI15" s="4000"/>
      <c r="AJ15" s="4000"/>
      <c r="AK15" s="4000"/>
      <c r="AL15" s="4010"/>
      <c r="AM15" s="4012"/>
      <c r="AN15" s="2622"/>
    </row>
    <row r="16" spans="1:40" ht="42.75" x14ac:dyDescent="0.2">
      <c r="A16" s="902"/>
      <c r="B16" s="903"/>
      <c r="C16" s="904"/>
      <c r="D16" s="903"/>
      <c r="E16" s="3973"/>
      <c r="F16" s="3974"/>
      <c r="G16" s="3976">
        <v>181</v>
      </c>
      <c r="H16" s="3979" t="s">
        <v>755</v>
      </c>
      <c r="I16" s="3982" t="s">
        <v>756</v>
      </c>
      <c r="J16" s="3985">
        <v>6</v>
      </c>
      <c r="K16" s="3989"/>
      <c r="L16" s="4003"/>
      <c r="M16" s="3980"/>
      <c r="N16" s="4005">
        <f>SUM(S16:S19)/O12</f>
        <v>0.30210772833723654</v>
      </c>
      <c r="O16" s="4008"/>
      <c r="P16" s="3980"/>
      <c r="Q16" s="2635" t="s">
        <v>757</v>
      </c>
      <c r="R16" s="911" t="s">
        <v>758</v>
      </c>
      <c r="S16" s="912">
        <v>4750000</v>
      </c>
      <c r="T16" s="2490" t="s">
        <v>61</v>
      </c>
      <c r="U16" s="2485" t="s">
        <v>357</v>
      </c>
      <c r="V16" s="3997"/>
      <c r="W16" s="3997"/>
      <c r="X16" s="4000"/>
      <c r="Y16" s="4000"/>
      <c r="Z16" s="4000"/>
      <c r="AA16" s="4000"/>
      <c r="AB16" s="4000"/>
      <c r="AC16" s="4000"/>
      <c r="AD16" s="4000"/>
      <c r="AE16" s="4000"/>
      <c r="AF16" s="4000"/>
      <c r="AG16" s="4000"/>
      <c r="AH16" s="4000"/>
      <c r="AI16" s="4000"/>
      <c r="AJ16" s="4000"/>
      <c r="AK16" s="4000"/>
      <c r="AL16" s="4010"/>
      <c r="AM16" s="4012"/>
      <c r="AN16" s="2622"/>
    </row>
    <row r="17" spans="1:256" ht="42.75" x14ac:dyDescent="0.2">
      <c r="A17" s="902"/>
      <c r="B17" s="903"/>
      <c r="C17" s="904"/>
      <c r="D17" s="903"/>
      <c r="E17" s="3973"/>
      <c r="F17" s="3974"/>
      <c r="G17" s="3977"/>
      <c r="H17" s="3980"/>
      <c r="I17" s="3983"/>
      <c r="J17" s="3986"/>
      <c r="K17" s="3989"/>
      <c r="L17" s="4003"/>
      <c r="M17" s="3980"/>
      <c r="N17" s="4006"/>
      <c r="O17" s="4008"/>
      <c r="P17" s="3980"/>
      <c r="Q17" s="2636"/>
      <c r="R17" s="911" t="s">
        <v>759</v>
      </c>
      <c r="S17" s="912">
        <v>5750000</v>
      </c>
      <c r="T17" s="2490" t="s">
        <v>61</v>
      </c>
      <c r="U17" s="2485" t="s">
        <v>357</v>
      </c>
      <c r="V17" s="3997"/>
      <c r="W17" s="3997"/>
      <c r="X17" s="4000"/>
      <c r="Y17" s="4000"/>
      <c r="Z17" s="4000"/>
      <c r="AA17" s="4000"/>
      <c r="AB17" s="4000"/>
      <c r="AC17" s="4000"/>
      <c r="AD17" s="4000"/>
      <c r="AE17" s="4000"/>
      <c r="AF17" s="4000"/>
      <c r="AG17" s="4000"/>
      <c r="AH17" s="4000"/>
      <c r="AI17" s="4000"/>
      <c r="AJ17" s="4000"/>
      <c r="AK17" s="4000"/>
      <c r="AL17" s="4010"/>
      <c r="AM17" s="4012"/>
      <c r="AN17" s="2622"/>
    </row>
    <row r="18" spans="1:256" ht="42.75" x14ac:dyDescent="0.2">
      <c r="A18" s="902"/>
      <c r="B18" s="903"/>
      <c r="C18" s="904"/>
      <c r="D18" s="903"/>
      <c r="E18" s="3973"/>
      <c r="F18" s="3974"/>
      <c r="G18" s="3977"/>
      <c r="H18" s="3980"/>
      <c r="I18" s="3983"/>
      <c r="J18" s="3986"/>
      <c r="K18" s="3989"/>
      <c r="L18" s="4003"/>
      <c r="M18" s="3980"/>
      <c r="N18" s="4006"/>
      <c r="O18" s="4008"/>
      <c r="P18" s="3980"/>
      <c r="Q18" s="2636"/>
      <c r="R18" s="911" t="s">
        <v>760</v>
      </c>
      <c r="S18" s="912">
        <v>4750000</v>
      </c>
      <c r="T18" s="2490" t="s">
        <v>61</v>
      </c>
      <c r="U18" s="2485" t="s">
        <v>357</v>
      </c>
      <c r="V18" s="3997"/>
      <c r="W18" s="3997"/>
      <c r="X18" s="4000"/>
      <c r="Y18" s="4000"/>
      <c r="Z18" s="4000"/>
      <c r="AA18" s="4000"/>
      <c r="AB18" s="4000"/>
      <c r="AC18" s="4000"/>
      <c r="AD18" s="4000"/>
      <c r="AE18" s="4000"/>
      <c r="AF18" s="4000"/>
      <c r="AG18" s="4000"/>
      <c r="AH18" s="4000"/>
      <c r="AI18" s="4000"/>
      <c r="AJ18" s="4000"/>
      <c r="AK18" s="4000"/>
      <c r="AL18" s="4010"/>
      <c r="AM18" s="4012"/>
      <c r="AN18" s="2622"/>
    </row>
    <row r="19" spans="1:256" ht="30" x14ac:dyDescent="0.2">
      <c r="A19" s="902"/>
      <c r="B19" s="903"/>
      <c r="C19" s="915"/>
      <c r="D19" s="916"/>
      <c r="E19" s="3975"/>
      <c r="F19" s="2743"/>
      <c r="G19" s="3978"/>
      <c r="H19" s="3981"/>
      <c r="I19" s="3984"/>
      <c r="J19" s="3987"/>
      <c r="K19" s="3990"/>
      <c r="L19" s="4004"/>
      <c r="M19" s="3981"/>
      <c r="N19" s="4007"/>
      <c r="O19" s="4009"/>
      <c r="P19" s="3981"/>
      <c r="Q19" s="2637"/>
      <c r="R19" s="913" t="s">
        <v>761</v>
      </c>
      <c r="S19" s="917">
        <v>4100000</v>
      </c>
      <c r="T19" s="2490" t="s">
        <v>61</v>
      </c>
      <c r="U19" s="2485" t="s">
        <v>357</v>
      </c>
      <c r="V19" s="3998"/>
      <c r="W19" s="3998"/>
      <c r="X19" s="4001"/>
      <c r="Y19" s="4001"/>
      <c r="Z19" s="4001"/>
      <c r="AA19" s="4001"/>
      <c r="AB19" s="4001"/>
      <c r="AC19" s="4001"/>
      <c r="AD19" s="4001"/>
      <c r="AE19" s="4001"/>
      <c r="AF19" s="4001"/>
      <c r="AG19" s="4001"/>
      <c r="AH19" s="4001"/>
      <c r="AI19" s="4001"/>
      <c r="AJ19" s="4001"/>
      <c r="AK19" s="4001"/>
      <c r="AL19" s="4011"/>
      <c r="AM19" s="4013"/>
      <c r="AN19" s="2622"/>
    </row>
    <row r="20" spans="1:256" ht="15.75" x14ac:dyDescent="0.2">
      <c r="A20" s="902"/>
      <c r="B20" s="903"/>
      <c r="C20" s="895">
        <v>17</v>
      </c>
      <c r="D20" s="918" t="s">
        <v>762</v>
      </c>
      <c r="E20" s="2489"/>
      <c r="F20" s="2489"/>
      <c r="G20" s="2489"/>
      <c r="H20" s="919"/>
      <c r="I20" s="919"/>
      <c r="J20" s="2489"/>
      <c r="K20" s="2489"/>
      <c r="L20" s="2489"/>
      <c r="M20" s="919"/>
      <c r="N20" s="920"/>
      <c r="O20" s="921"/>
      <c r="P20" s="919"/>
      <c r="Q20" s="919"/>
      <c r="R20" s="919"/>
      <c r="S20" s="922"/>
      <c r="T20" s="760"/>
      <c r="U20" s="760"/>
      <c r="V20" s="2489"/>
      <c r="W20" s="2489"/>
      <c r="X20" s="2489"/>
      <c r="Y20" s="2489"/>
      <c r="Z20" s="2489"/>
      <c r="AA20" s="2489"/>
      <c r="AB20" s="2489"/>
      <c r="AC20" s="2489"/>
      <c r="AD20" s="2489"/>
      <c r="AE20" s="2489"/>
      <c r="AF20" s="2489"/>
      <c r="AG20" s="2489"/>
      <c r="AH20" s="2489"/>
      <c r="AI20" s="2489"/>
      <c r="AJ20" s="2489"/>
      <c r="AK20" s="2489"/>
      <c r="AL20" s="2489"/>
      <c r="AM20" s="2489"/>
      <c r="AN20" s="923"/>
    </row>
    <row r="21" spans="1:256" ht="15.75" x14ac:dyDescent="0.2">
      <c r="A21" s="902"/>
      <c r="B21" s="903"/>
      <c r="C21" s="4017"/>
      <c r="D21" s="4018"/>
      <c r="E21" s="905">
        <v>58</v>
      </c>
      <c r="F21" s="906" t="s">
        <v>763</v>
      </c>
      <c r="G21" s="907"/>
      <c r="H21" s="908"/>
      <c r="I21" s="908"/>
      <c r="J21" s="907"/>
      <c r="K21" s="907"/>
      <c r="L21" s="907"/>
      <c r="M21" s="908"/>
      <c r="N21" s="924"/>
      <c r="O21" s="925"/>
      <c r="P21" s="908"/>
      <c r="Q21" s="908"/>
      <c r="R21" s="908"/>
      <c r="S21" s="926"/>
      <c r="T21" s="686"/>
      <c r="U21" s="686"/>
      <c r="V21" s="907"/>
      <c r="W21" s="907"/>
      <c r="X21" s="907"/>
      <c r="Y21" s="907"/>
      <c r="Z21" s="907"/>
      <c r="AA21" s="907"/>
      <c r="AB21" s="907"/>
      <c r="AC21" s="907"/>
      <c r="AD21" s="907"/>
      <c r="AE21" s="907"/>
      <c r="AF21" s="907"/>
      <c r="AG21" s="907"/>
      <c r="AH21" s="907"/>
      <c r="AI21" s="907"/>
      <c r="AJ21" s="907"/>
      <c r="AK21" s="907"/>
      <c r="AL21" s="907"/>
      <c r="AM21" s="907"/>
      <c r="AN21" s="927"/>
    </row>
    <row r="22" spans="1:256" ht="30" x14ac:dyDescent="0.2">
      <c r="A22" s="902"/>
      <c r="B22" s="903"/>
      <c r="C22" s="4019"/>
      <c r="D22" s="4020"/>
      <c r="E22" s="928"/>
      <c r="F22" s="929"/>
      <c r="G22" s="4023">
        <v>183</v>
      </c>
      <c r="H22" s="4024" t="s">
        <v>764</v>
      </c>
      <c r="I22" s="4024" t="s">
        <v>765</v>
      </c>
      <c r="J22" s="4025">
        <v>1</v>
      </c>
      <c r="K22" s="3988" t="s">
        <v>766</v>
      </c>
      <c r="L22" s="4003" t="s">
        <v>767</v>
      </c>
      <c r="M22" s="3980" t="s">
        <v>768</v>
      </c>
      <c r="N22" s="4033">
        <f>SUM(S22:S28)/O22</f>
        <v>1</v>
      </c>
      <c r="O22" s="4008">
        <f>SUM(S22:S28)</f>
        <v>178850000</v>
      </c>
      <c r="P22" s="3980" t="s">
        <v>769</v>
      </c>
      <c r="Q22" s="2635" t="s">
        <v>770</v>
      </c>
      <c r="R22" s="911" t="s">
        <v>771</v>
      </c>
      <c r="S22" s="930">
        <v>18590000</v>
      </c>
      <c r="T22" s="2490" t="s">
        <v>61</v>
      </c>
      <c r="U22" s="2485" t="s">
        <v>357</v>
      </c>
      <c r="V22" s="3999">
        <v>3625</v>
      </c>
      <c r="W22" s="3999">
        <v>3875</v>
      </c>
      <c r="X22" s="3999">
        <v>2000</v>
      </c>
      <c r="Y22" s="3999">
        <v>4000</v>
      </c>
      <c r="Z22" s="3999">
        <v>1000</v>
      </c>
      <c r="AA22" s="3999">
        <v>500</v>
      </c>
      <c r="AB22" s="3999"/>
      <c r="AC22" s="3999"/>
      <c r="AD22" s="3999"/>
      <c r="AE22" s="3999"/>
      <c r="AF22" s="3999"/>
      <c r="AG22" s="3999"/>
      <c r="AH22" s="3999"/>
      <c r="AI22" s="3999"/>
      <c r="AJ22" s="3999"/>
      <c r="AK22" s="3999">
        <f>X22+Y22+Z22+AA22</f>
        <v>7500</v>
      </c>
      <c r="AL22" s="4035">
        <v>43467</v>
      </c>
      <c r="AM22" s="4012">
        <v>43830</v>
      </c>
      <c r="AN22" s="2622" t="s">
        <v>751</v>
      </c>
    </row>
    <row r="23" spans="1:256" ht="57" x14ac:dyDescent="0.2">
      <c r="A23" s="902"/>
      <c r="B23" s="903"/>
      <c r="C23" s="4019"/>
      <c r="D23" s="4020"/>
      <c r="E23" s="931"/>
      <c r="F23" s="932"/>
      <c r="G23" s="4023"/>
      <c r="H23" s="4024"/>
      <c r="I23" s="4024"/>
      <c r="J23" s="4025"/>
      <c r="K23" s="3989"/>
      <c r="L23" s="4003"/>
      <c r="M23" s="3980"/>
      <c r="N23" s="4033"/>
      <c r="O23" s="4008"/>
      <c r="P23" s="3980"/>
      <c r="Q23" s="2636"/>
      <c r="R23" s="911" t="s">
        <v>772</v>
      </c>
      <c r="S23" s="933">
        <f>40770000+14981000</f>
        <v>55751000</v>
      </c>
      <c r="T23" s="2490" t="s">
        <v>61</v>
      </c>
      <c r="U23" s="2485" t="s">
        <v>357</v>
      </c>
      <c r="V23" s="4000"/>
      <c r="W23" s="4000"/>
      <c r="X23" s="4000"/>
      <c r="Y23" s="4000"/>
      <c r="Z23" s="4000"/>
      <c r="AA23" s="4000"/>
      <c r="AB23" s="4000"/>
      <c r="AC23" s="4000"/>
      <c r="AD23" s="4000"/>
      <c r="AE23" s="4000"/>
      <c r="AF23" s="4000"/>
      <c r="AG23" s="4000"/>
      <c r="AH23" s="4000"/>
      <c r="AI23" s="4000"/>
      <c r="AJ23" s="4000"/>
      <c r="AK23" s="4000"/>
      <c r="AL23" s="4036"/>
      <c r="AM23" s="4012"/>
      <c r="AN23" s="2622"/>
    </row>
    <row r="24" spans="1:256" ht="30" x14ac:dyDescent="0.2">
      <c r="A24" s="902"/>
      <c r="B24" s="903"/>
      <c r="C24" s="4019"/>
      <c r="D24" s="4020"/>
      <c r="E24" s="931"/>
      <c r="F24" s="932"/>
      <c r="G24" s="4023"/>
      <c r="H24" s="4024"/>
      <c r="I24" s="4024"/>
      <c r="J24" s="4025"/>
      <c r="K24" s="3989"/>
      <c r="L24" s="4003"/>
      <c r="M24" s="3980"/>
      <c r="N24" s="4033"/>
      <c r="O24" s="4008"/>
      <c r="P24" s="3980"/>
      <c r="Q24" s="2636"/>
      <c r="R24" s="911" t="s">
        <v>773</v>
      </c>
      <c r="S24" s="933">
        <f>37180000-7180000</f>
        <v>30000000</v>
      </c>
      <c r="T24" s="2490" t="s">
        <v>61</v>
      </c>
      <c r="U24" s="2485" t="s">
        <v>357</v>
      </c>
      <c r="V24" s="4000"/>
      <c r="W24" s="4000"/>
      <c r="X24" s="4000"/>
      <c r="Y24" s="4000"/>
      <c r="Z24" s="4000"/>
      <c r="AA24" s="4000"/>
      <c r="AB24" s="4000"/>
      <c r="AC24" s="4000"/>
      <c r="AD24" s="4000"/>
      <c r="AE24" s="4000"/>
      <c r="AF24" s="4000"/>
      <c r="AG24" s="4000"/>
      <c r="AH24" s="4000"/>
      <c r="AI24" s="4000"/>
      <c r="AJ24" s="4000"/>
      <c r="AK24" s="4000"/>
      <c r="AL24" s="4036"/>
      <c r="AM24" s="4012"/>
      <c r="AN24" s="2622"/>
    </row>
    <row r="25" spans="1:256" ht="30" x14ac:dyDescent="0.2">
      <c r="A25" s="902"/>
      <c r="B25" s="903"/>
      <c r="C25" s="4019"/>
      <c r="D25" s="4020"/>
      <c r="E25" s="931"/>
      <c r="F25" s="932"/>
      <c r="G25" s="4023"/>
      <c r="H25" s="4024"/>
      <c r="I25" s="4024"/>
      <c r="J25" s="4025"/>
      <c r="K25" s="3989"/>
      <c r="L25" s="4003"/>
      <c r="M25" s="3980"/>
      <c r="N25" s="4033"/>
      <c r="O25" s="4008"/>
      <c r="P25" s="3980"/>
      <c r="Q25" s="2636"/>
      <c r="R25" s="911" t="s">
        <v>774</v>
      </c>
      <c r="S25" s="933">
        <f>37180000-7801000</f>
        <v>29379000</v>
      </c>
      <c r="T25" s="2490" t="s">
        <v>61</v>
      </c>
      <c r="U25" s="2485" t="s">
        <v>357</v>
      </c>
      <c r="V25" s="4000"/>
      <c r="W25" s="4000"/>
      <c r="X25" s="4000"/>
      <c r="Y25" s="4000"/>
      <c r="Z25" s="4000"/>
      <c r="AA25" s="4000"/>
      <c r="AB25" s="4000"/>
      <c r="AC25" s="4000"/>
      <c r="AD25" s="4000"/>
      <c r="AE25" s="4000"/>
      <c r="AF25" s="4000"/>
      <c r="AG25" s="4000"/>
      <c r="AH25" s="4000"/>
      <c r="AI25" s="4000"/>
      <c r="AJ25" s="4000"/>
      <c r="AK25" s="4000"/>
      <c r="AL25" s="4036"/>
      <c r="AM25" s="4012"/>
      <c r="AN25" s="2622"/>
    </row>
    <row r="26" spans="1:256" ht="30" x14ac:dyDescent="0.2">
      <c r="A26" s="902"/>
      <c r="B26" s="903"/>
      <c r="C26" s="4019"/>
      <c r="D26" s="4020"/>
      <c r="E26" s="931"/>
      <c r="F26" s="932"/>
      <c r="G26" s="4023"/>
      <c r="H26" s="4024"/>
      <c r="I26" s="4024"/>
      <c r="J26" s="4025"/>
      <c r="K26" s="3989"/>
      <c r="L26" s="4003"/>
      <c r="M26" s="3980"/>
      <c r="N26" s="4033"/>
      <c r="O26" s="4008"/>
      <c r="P26" s="3980"/>
      <c r="Q26" s="2636"/>
      <c r="R26" s="911" t="s">
        <v>775</v>
      </c>
      <c r="S26" s="930">
        <v>31130000</v>
      </c>
      <c r="T26" s="2490" t="s">
        <v>61</v>
      </c>
      <c r="U26" s="2485" t="s">
        <v>357</v>
      </c>
      <c r="V26" s="4000"/>
      <c r="W26" s="4000"/>
      <c r="X26" s="4000"/>
      <c r="Y26" s="4000"/>
      <c r="Z26" s="4000"/>
      <c r="AA26" s="4000"/>
      <c r="AB26" s="4000"/>
      <c r="AC26" s="4000"/>
      <c r="AD26" s="4000"/>
      <c r="AE26" s="4000"/>
      <c r="AF26" s="4000"/>
      <c r="AG26" s="4000"/>
      <c r="AH26" s="4000"/>
      <c r="AI26" s="4000"/>
      <c r="AJ26" s="4000"/>
      <c r="AK26" s="4000"/>
      <c r="AL26" s="4036"/>
      <c r="AM26" s="4012"/>
      <c r="AN26" s="2622"/>
    </row>
    <row r="27" spans="1:256" s="883" customFormat="1" ht="45" customHeight="1" x14ac:dyDescent="0.2">
      <c r="A27" s="902"/>
      <c r="B27" s="903"/>
      <c r="C27" s="4019"/>
      <c r="D27" s="4020"/>
      <c r="E27" s="931"/>
      <c r="F27" s="932"/>
      <c r="G27" s="4023"/>
      <c r="H27" s="4024"/>
      <c r="I27" s="4024"/>
      <c r="J27" s="4025"/>
      <c r="K27" s="3989"/>
      <c r="L27" s="4003"/>
      <c r="M27" s="3980"/>
      <c r="N27" s="4033"/>
      <c r="O27" s="4008"/>
      <c r="P27" s="3980"/>
      <c r="Q27" s="2635" t="s">
        <v>776</v>
      </c>
      <c r="R27" s="913" t="s">
        <v>777</v>
      </c>
      <c r="S27" s="934">
        <v>6000000</v>
      </c>
      <c r="T27" s="2490" t="s">
        <v>61</v>
      </c>
      <c r="U27" s="2485" t="s">
        <v>357</v>
      </c>
      <c r="V27" s="4000"/>
      <c r="W27" s="4000"/>
      <c r="X27" s="4000"/>
      <c r="Y27" s="4000"/>
      <c r="Z27" s="4000"/>
      <c r="AA27" s="4000"/>
      <c r="AB27" s="4000"/>
      <c r="AC27" s="4000"/>
      <c r="AD27" s="4000"/>
      <c r="AE27" s="4000"/>
      <c r="AF27" s="4000"/>
      <c r="AG27" s="4000"/>
      <c r="AH27" s="4000"/>
      <c r="AI27" s="4000"/>
      <c r="AJ27" s="4000"/>
      <c r="AK27" s="4000"/>
      <c r="AL27" s="4036"/>
      <c r="AM27" s="4012"/>
      <c r="AN27" s="2622"/>
      <c r="AT27" s="884"/>
      <c r="AU27" s="884"/>
      <c r="AV27" s="884"/>
      <c r="AW27" s="884"/>
      <c r="AX27" s="884"/>
      <c r="AY27" s="884"/>
      <c r="AZ27" s="884"/>
      <c r="BA27" s="884"/>
      <c r="BB27" s="884"/>
      <c r="BC27" s="884"/>
      <c r="BD27" s="884"/>
      <c r="BE27" s="884"/>
      <c r="BF27" s="884"/>
      <c r="BG27" s="884"/>
      <c r="BH27" s="884"/>
      <c r="BI27" s="884"/>
      <c r="BJ27" s="884"/>
      <c r="BK27" s="884"/>
      <c r="BL27" s="884"/>
      <c r="BM27" s="884"/>
      <c r="BN27" s="884"/>
      <c r="BO27" s="884"/>
      <c r="BP27" s="884"/>
      <c r="BQ27" s="884"/>
      <c r="BR27" s="884"/>
      <c r="BS27" s="884"/>
      <c r="BT27" s="884"/>
      <c r="BU27" s="884"/>
      <c r="BV27" s="884"/>
      <c r="BW27" s="884"/>
      <c r="BX27" s="884"/>
      <c r="BY27" s="884"/>
      <c r="BZ27" s="884"/>
      <c r="CA27" s="884"/>
      <c r="CB27" s="884"/>
      <c r="CC27" s="884"/>
      <c r="CD27" s="884"/>
      <c r="CE27" s="884"/>
      <c r="CF27" s="884"/>
      <c r="CG27" s="884"/>
      <c r="CH27" s="884"/>
      <c r="CI27" s="884"/>
      <c r="CJ27" s="884"/>
      <c r="CK27" s="884"/>
      <c r="CL27" s="884"/>
      <c r="CM27" s="884"/>
      <c r="CN27" s="884"/>
      <c r="CO27" s="884"/>
      <c r="CP27" s="884"/>
      <c r="CQ27" s="884"/>
      <c r="CR27" s="884"/>
      <c r="CS27" s="884"/>
      <c r="CT27" s="884"/>
      <c r="CU27" s="884"/>
      <c r="CV27" s="884"/>
      <c r="CW27" s="884"/>
      <c r="CX27" s="884"/>
      <c r="CY27" s="884"/>
      <c r="CZ27" s="884"/>
      <c r="DA27" s="884"/>
      <c r="DB27" s="884"/>
      <c r="DC27" s="884"/>
      <c r="DD27" s="884"/>
      <c r="DE27" s="884"/>
      <c r="DF27" s="884"/>
      <c r="DG27" s="884"/>
      <c r="DH27" s="884"/>
      <c r="DI27" s="884"/>
      <c r="DJ27" s="884"/>
      <c r="DK27" s="884"/>
      <c r="DL27" s="884"/>
      <c r="DM27" s="884"/>
      <c r="DN27" s="884"/>
      <c r="DO27" s="884"/>
      <c r="DP27" s="884"/>
      <c r="DQ27" s="884"/>
      <c r="DR27" s="884"/>
      <c r="DS27" s="884"/>
      <c r="DT27" s="884"/>
      <c r="DU27" s="884"/>
      <c r="DV27" s="884"/>
      <c r="DW27" s="884"/>
      <c r="DX27" s="884"/>
      <c r="DY27" s="884"/>
      <c r="DZ27" s="884"/>
      <c r="EA27" s="884"/>
      <c r="EB27" s="884"/>
      <c r="EC27" s="884"/>
      <c r="ED27" s="884"/>
      <c r="EE27" s="884"/>
      <c r="EF27" s="884"/>
      <c r="EG27" s="884"/>
      <c r="EH27" s="884"/>
      <c r="EI27" s="884"/>
      <c r="EJ27" s="884"/>
      <c r="EK27" s="884"/>
      <c r="EL27" s="884"/>
      <c r="EM27" s="884"/>
      <c r="EN27" s="884"/>
      <c r="EO27" s="884"/>
      <c r="EP27" s="884"/>
      <c r="EQ27" s="884"/>
      <c r="ER27" s="884"/>
      <c r="ES27" s="884"/>
      <c r="ET27" s="884"/>
      <c r="EU27" s="884"/>
      <c r="EV27" s="884"/>
      <c r="EW27" s="884"/>
      <c r="EX27" s="884"/>
      <c r="EY27" s="884"/>
      <c r="EZ27" s="884"/>
      <c r="FA27" s="884"/>
      <c r="FB27" s="884"/>
      <c r="FC27" s="884"/>
      <c r="FD27" s="884"/>
      <c r="FE27" s="884"/>
      <c r="FF27" s="884"/>
      <c r="FG27" s="884"/>
      <c r="FH27" s="884"/>
      <c r="FI27" s="884"/>
      <c r="FJ27" s="884"/>
      <c r="FK27" s="884"/>
      <c r="FL27" s="884"/>
      <c r="FM27" s="884"/>
      <c r="FN27" s="884"/>
      <c r="FO27" s="884"/>
      <c r="FP27" s="884"/>
      <c r="FQ27" s="884"/>
      <c r="FR27" s="884"/>
      <c r="FS27" s="884"/>
      <c r="FT27" s="884"/>
      <c r="FU27" s="884"/>
      <c r="FV27" s="884"/>
      <c r="FW27" s="884"/>
      <c r="FX27" s="884"/>
      <c r="FY27" s="884"/>
      <c r="FZ27" s="884"/>
      <c r="GA27" s="884"/>
      <c r="GB27" s="884"/>
      <c r="GC27" s="884"/>
      <c r="GD27" s="884"/>
      <c r="GE27" s="884"/>
      <c r="GF27" s="884"/>
      <c r="GG27" s="884"/>
      <c r="GH27" s="884"/>
      <c r="GI27" s="884"/>
      <c r="GJ27" s="884"/>
      <c r="GK27" s="884"/>
      <c r="GL27" s="884"/>
      <c r="GM27" s="884"/>
      <c r="GN27" s="884"/>
      <c r="GO27" s="884"/>
      <c r="GP27" s="884"/>
      <c r="GQ27" s="884"/>
      <c r="GR27" s="884"/>
      <c r="GS27" s="884"/>
      <c r="GT27" s="884"/>
      <c r="GU27" s="884"/>
      <c r="GV27" s="884"/>
      <c r="GW27" s="884"/>
      <c r="GX27" s="884"/>
      <c r="GY27" s="884"/>
      <c r="GZ27" s="884"/>
      <c r="HA27" s="884"/>
      <c r="HB27" s="884"/>
      <c r="HC27" s="884"/>
      <c r="HD27" s="884"/>
      <c r="HE27" s="884"/>
      <c r="HF27" s="884"/>
      <c r="HG27" s="884"/>
      <c r="HH27" s="884"/>
      <c r="HI27" s="884"/>
      <c r="HJ27" s="884"/>
      <c r="HK27" s="884"/>
      <c r="HL27" s="884"/>
      <c r="HM27" s="884"/>
      <c r="HN27" s="884"/>
      <c r="HO27" s="884"/>
      <c r="HP27" s="884"/>
      <c r="HQ27" s="884"/>
      <c r="HR27" s="884"/>
      <c r="HS27" s="884"/>
      <c r="HT27" s="884"/>
      <c r="HU27" s="884"/>
      <c r="HV27" s="884"/>
      <c r="HW27" s="884"/>
      <c r="HX27" s="884"/>
      <c r="HY27" s="884"/>
      <c r="HZ27" s="884"/>
      <c r="IA27" s="884"/>
      <c r="IB27" s="884"/>
      <c r="IC27" s="884"/>
      <c r="ID27" s="884"/>
      <c r="IE27" s="884"/>
      <c r="IF27" s="884"/>
      <c r="IG27" s="884"/>
      <c r="IH27" s="884"/>
      <c r="II27" s="884"/>
      <c r="IJ27" s="884"/>
      <c r="IK27" s="884"/>
      <c r="IL27" s="884"/>
      <c r="IM27" s="884"/>
      <c r="IN27" s="884"/>
      <c r="IO27" s="884"/>
      <c r="IP27" s="884"/>
      <c r="IQ27" s="884"/>
      <c r="IR27" s="884"/>
      <c r="IS27" s="884"/>
      <c r="IT27" s="884"/>
      <c r="IU27" s="884"/>
      <c r="IV27" s="884"/>
    </row>
    <row r="28" spans="1:256" s="883" customFormat="1" ht="45" customHeight="1" x14ac:dyDescent="0.2">
      <c r="A28" s="902"/>
      <c r="B28" s="903"/>
      <c r="C28" s="4019"/>
      <c r="D28" s="4020"/>
      <c r="E28" s="931"/>
      <c r="F28" s="932"/>
      <c r="G28" s="4023"/>
      <c r="H28" s="4024"/>
      <c r="I28" s="4024"/>
      <c r="J28" s="4026"/>
      <c r="K28" s="3989"/>
      <c r="L28" s="4003"/>
      <c r="M28" s="3980"/>
      <c r="N28" s="4033"/>
      <c r="O28" s="4034"/>
      <c r="P28" s="3980"/>
      <c r="Q28" s="2636"/>
      <c r="R28" s="913" t="s">
        <v>778</v>
      </c>
      <c r="S28" s="935">
        <v>8000000</v>
      </c>
      <c r="T28" s="2490" t="s">
        <v>61</v>
      </c>
      <c r="U28" s="2485" t="s">
        <v>357</v>
      </c>
      <c r="V28" s="4000"/>
      <c r="W28" s="4000"/>
      <c r="X28" s="4000"/>
      <c r="Y28" s="4000"/>
      <c r="Z28" s="4000"/>
      <c r="AA28" s="4000"/>
      <c r="AB28" s="4000"/>
      <c r="AC28" s="4000"/>
      <c r="AD28" s="4000"/>
      <c r="AE28" s="4000"/>
      <c r="AF28" s="4000"/>
      <c r="AG28" s="4000"/>
      <c r="AH28" s="4000"/>
      <c r="AI28" s="4000"/>
      <c r="AJ28" s="4000"/>
      <c r="AK28" s="4000"/>
      <c r="AL28" s="4036"/>
      <c r="AM28" s="4035"/>
      <c r="AN28" s="2622"/>
      <c r="AT28" s="884"/>
      <c r="AU28" s="884"/>
      <c r="AV28" s="884"/>
      <c r="AW28" s="884"/>
      <c r="AX28" s="884"/>
      <c r="AY28" s="884"/>
      <c r="AZ28" s="884"/>
      <c r="BA28" s="884"/>
      <c r="BB28" s="884"/>
      <c r="BC28" s="884"/>
      <c r="BD28" s="884"/>
      <c r="BE28" s="884"/>
      <c r="BF28" s="884"/>
      <c r="BG28" s="884"/>
      <c r="BH28" s="884"/>
      <c r="BI28" s="884"/>
      <c r="BJ28" s="884"/>
      <c r="BK28" s="884"/>
      <c r="BL28" s="884"/>
      <c r="BM28" s="884"/>
      <c r="BN28" s="884"/>
      <c r="BO28" s="884"/>
      <c r="BP28" s="884"/>
      <c r="BQ28" s="884"/>
      <c r="BR28" s="884"/>
      <c r="BS28" s="884"/>
      <c r="BT28" s="884"/>
      <c r="BU28" s="884"/>
      <c r="BV28" s="884"/>
      <c r="BW28" s="884"/>
      <c r="BX28" s="884"/>
      <c r="BY28" s="884"/>
      <c r="BZ28" s="884"/>
      <c r="CA28" s="884"/>
      <c r="CB28" s="884"/>
      <c r="CC28" s="884"/>
      <c r="CD28" s="884"/>
      <c r="CE28" s="884"/>
      <c r="CF28" s="884"/>
      <c r="CG28" s="884"/>
      <c r="CH28" s="884"/>
      <c r="CI28" s="884"/>
      <c r="CJ28" s="884"/>
      <c r="CK28" s="884"/>
      <c r="CL28" s="884"/>
      <c r="CM28" s="884"/>
      <c r="CN28" s="884"/>
      <c r="CO28" s="884"/>
      <c r="CP28" s="884"/>
      <c r="CQ28" s="884"/>
      <c r="CR28" s="884"/>
      <c r="CS28" s="884"/>
      <c r="CT28" s="884"/>
      <c r="CU28" s="884"/>
      <c r="CV28" s="884"/>
      <c r="CW28" s="884"/>
      <c r="CX28" s="884"/>
      <c r="CY28" s="884"/>
      <c r="CZ28" s="884"/>
      <c r="DA28" s="884"/>
      <c r="DB28" s="884"/>
      <c r="DC28" s="884"/>
      <c r="DD28" s="884"/>
      <c r="DE28" s="884"/>
      <c r="DF28" s="884"/>
      <c r="DG28" s="884"/>
      <c r="DH28" s="884"/>
      <c r="DI28" s="884"/>
      <c r="DJ28" s="884"/>
      <c r="DK28" s="884"/>
      <c r="DL28" s="884"/>
      <c r="DM28" s="884"/>
      <c r="DN28" s="884"/>
      <c r="DO28" s="884"/>
      <c r="DP28" s="884"/>
      <c r="DQ28" s="884"/>
      <c r="DR28" s="884"/>
      <c r="DS28" s="884"/>
      <c r="DT28" s="884"/>
      <c r="DU28" s="884"/>
      <c r="DV28" s="884"/>
      <c r="DW28" s="884"/>
      <c r="DX28" s="884"/>
      <c r="DY28" s="884"/>
      <c r="DZ28" s="884"/>
      <c r="EA28" s="884"/>
      <c r="EB28" s="884"/>
      <c r="EC28" s="884"/>
      <c r="ED28" s="884"/>
      <c r="EE28" s="884"/>
      <c r="EF28" s="884"/>
      <c r="EG28" s="884"/>
      <c r="EH28" s="884"/>
      <c r="EI28" s="884"/>
      <c r="EJ28" s="884"/>
      <c r="EK28" s="884"/>
      <c r="EL28" s="884"/>
      <c r="EM28" s="884"/>
      <c r="EN28" s="884"/>
      <c r="EO28" s="884"/>
      <c r="EP28" s="884"/>
      <c r="EQ28" s="884"/>
      <c r="ER28" s="884"/>
      <c r="ES28" s="884"/>
      <c r="ET28" s="884"/>
      <c r="EU28" s="884"/>
      <c r="EV28" s="884"/>
      <c r="EW28" s="884"/>
      <c r="EX28" s="884"/>
      <c r="EY28" s="884"/>
      <c r="EZ28" s="884"/>
      <c r="FA28" s="884"/>
      <c r="FB28" s="884"/>
      <c r="FC28" s="884"/>
      <c r="FD28" s="884"/>
      <c r="FE28" s="884"/>
      <c r="FF28" s="884"/>
      <c r="FG28" s="884"/>
      <c r="FH28" s="884"/>
      <c r="FI28" s="884"/>
      <c r="FJ28" s="884"/>
      <c r="FK28" s="884"/>
      <c r="FL28" s="884"/>
      <c r="FM28" s="884"/>
      <c r="FN28" s="884"/>
      <c r="FO28" s="884"/>
      <c r="FP28" s="884"/>
      <c r="FQ28" s="884"/>
      <c r="FR28" s="884"/>
      <c r="FS28" s="884"/>
      <c r="FT28" s="884"/>
      <c r="FU28" s="884"/>
      <c r="FV28" s="884"/>
      <c r="FW28" s="884"/>
      <c r="FX28" s="884"/>
      <c r="FY28" s="884"/>
      <c r="FZ28" s="884"/>
      <c r="GA28" s="884"/>
      <c r="GB28" s="884"/>
      <c r="GC28" s="884"/>
      <c r="GD28" s="884"/>
      <c r="GE28" s="884"/>
      <c r="GF28" s="884"/>
      <c r="GG28" s="884"/>
      <c r="GH28" s="884"/>
      <c r="GI28" s="884"/>
      <c r="GJ28" s="884"/>
      <c r="GK28" s="884"/>
      <c r="GL28" s="884"/>
      <c r="GM28" s="884"/>
      <c r="GN28" s="884"/>
      <c r="GO28" s="884"/>
      <c r="GP28" s="884"/>
      <c r="GQ28" s="884"/>
      <c r="GR28" s="884"/>
      <c r="GS28" s="884"/>
      <c r="GT28" s="884"/>
      <c r="GU28" s="884"/>
      <c r="GV28" s="884"/>
      <c r="GW28" s="884"/>
      <c r="GX28" s="884"/>
      <c r="GY28" s="884"/>
      <c r="GZ28" s="884"/>
      <c r="HA28" s="884"/>
      <c r="HB28" s="884"/>
      <c r="HC28" s="884"/>
      <c r="HD28" s="884"/>
      <c r="HE28" s="884"/>
      <c r="HF28" s="884"/>
      <c r="HG28" s="884"/>
      <c r="HH28" s="884"/>
      <c r="HI28" s="884"/>
      <c r="HJ28" s="884"/>
      <c r="HK28" s="884"/>
      <c r="HL28" s="884"/>
      <c r="HM28" s="884"/>
      <c r="HN28" s="884"/>
      <c r="HO28" s="884"/>
      <c r="HP28" s="884"/>
      <c r="HQ28" s="884"/>
      <c r="HR28" s="884"/>
      <c r="HS28" s="884"/>
      <c r="HT28" s="884"/>
      <c r="HU28" s="884"/>
      <c r="HV28" s="884"/>
      <c r="HW28" s="884"/>
      <c r="HX28" s="884"/>
      <c r="HY28" s="884"/>
      <c r="HZ28" s="884"/>
      <c r="IA28" s="884"/>
      <c r="IB28" s="884"/>
      <c r="IC28" s="884"/>
      <c r="ID28" s="884"/>
      <c r="IE28" s="884"/>
      <c r="IF28" s="884"/>
      <c r="IG28" s="884"/>
      <c r="IH28" s="884"/>
      <c r="II28" s="884"/>
      <c r="IJ28" s="884"/>
      <c r="IK28" s="884"/>
      <c r="IL28" s="884"/>
      <c r="IM28" s="884"/>
      <c r="IN28" s="884"/>
      <c r="IO28" s="884"/>
      <c r="IP28" s="884"/>
      <c r="IQ28" s="884"/>
      <c r="IR28" s="884"/>
      <c r="IS28" s="884"/>
      <c r="IT28" s="884"/>
      <c r="IU28" s="884"/>
      <c r="IV28" s="884"/>
    </row>
    <row r="29" spans="1:256" s="883" customFormat="1" ht="15.75" x14ac:dyDescent="0.2">
      <c r="A29" s="902"/>
      <c r="B29" s="903"/>
      <c r="C29" s="4019"/>
      <c r="D29" s="4020"/>
      <c r="E29" s="905">
        <v>59</v>
      </c>
      <c r="F29" s="906" t="s">
        <v>779</v>
      </c>
      <c r="G29" s="936"/>
      <c r="H29" s="908"/>
      <c r="I29" s="908"/>
      <c r="J29" s="907"/>
      <c r="K29" s="907"/>
      <c r="L29" s="907"/>
      <c r="M29" s="908"/>
      <c r="N29" s="924"/>
      <c r="O29" s="925"/>
      <c r="P29" s="908"/>
      <c r="Q29" s="937"/>
      <c r="R29" s="908" t="s">
        <v>780</v>
      </c>
      <c r="S29" s="926"/>
      <c r="T29" s="686"/>
      <c r="U29" s="686"/>
      <c r="V29" s="907"/>
      <c r="W29" s="907"/>
      <c r="X29" s="907"/>
      <c r="Y29" s="907"/>
      <c r="Z29" s="907"/>
      <c r="AA29" s="907"/>
      <c r="AB29" s="907"/>
      <c r="AC29" s="907"/>
      <c r="AD29" s="907"/>
      <c r="AE29" s="907"/>
      <c r="AF29" s="907"/>
      <c r="AG29" s="907"/>
      <c r="AH29" s="907"/>
      <c r="AI29" s="907"/>
      <c r="AJ29" s="907"/>
      <c r="AK29" s="907"/>
      <c r="AL29" s="907"/>
      <c r="AM29" s="907"/>
      <c r="AN29" s="927"/>
      <c r="AT29" s="884"/>
      <c r="AU29" s="884"/>
      <c r="AV29" s="884"/>
      <c r="AW29" s="884"/>
      <c r="AX29" s="884"/>
      <c r="AY29" s="884"/>
      <c r="AZ29" s="884"/>
      <c r="BA29" s="884"/>
      <c r="BB29" s="884"/>
      <c r="BC29" s="884"/>
      <c r="BD29" s="884"/>
      <c r="BE29" s="884"/>
      <c r="BF29" s="884"/>
      <c r="BG29" s="884"/>
      <c r="BH29" s="884"/>
      <c r="BI29" s="884"/>
      <c r="BJ29" s="884"/>
      <c r="BK29" s="884"/>
      <c r="BL29" s="884"/>
      <c r="BM29" s="884"/>
      <c r="BN29" s="884"/>
      <c r="BO29" s="884"/>
      <c r="BP29" s="884"/>
      <c r="BQ29" s="884"/>
      <c r="BR29" s="884"/>
      <c r="BS29" s="884"/>
      <c r="BT29" s="884"/>
      <c r="BU29" s="884"/>
      <c r="BV29" s="884"/>
      <c r="BW29" s="884"/>
      <c r="BX29" s="884"/>
      <c r="BY29" s="884"/>
      <c r="BZ29" s="884"/>
      <c r="CA29" s="884"/>
      <c r="CB29" s="884"/>
      <c r="CC29" s="884"/>
      <c r="CD29" s="884"/>
      <c r="CE29" s="884"/>
      <c r="CF29" s="884"/>
      <c r="CG29" s="884"/>
      <c r="CH29" s="884"/>
      <c r="CI29" s="884"/>
      <c r="CJ29" s="884"/>
      <c r="CK29" s="884"/>
      <c r="CL29" s="884"/>
      <c r="CM29" s="884"/>
      <c r="CN29" s="884"/>
      <c r="CO29" s="884"/>
      <c r="CP29" s="884"/>
      <c r="CQ29" s="884"/>
      <c r="CR29" s="884"/>
      <c r="CS29" s="884"/>
      <c r="CT29" s="884"/>
      <c r="CU29" s="884"/>
      <c r="CV29" s="884"/>
      <c r="CW29" s="884"/>
      <c r="CX29" s="884"/>
      <c r="CY29" s="884"/>
      <c r="CZ29" s="884"/>
      <c r="DA29" s="884"/>
      <c r="DB29" s="884"/>
      <c r="DC29" s="884"/>
      <c r="DD29" s="884"/>
      <c r="DE29" s="884"/>
      <c r="DF29" s="884"/>
      <c r="DG29" s="884"/>
      <c r="DH29" s="884"/>
      <c r="DI29" s="884"/>
      <c r="DJ29" s="884"/>
      <c r="DK29" s="884"/>
      <c r="DL29" s="884"/>
      <c r="DM29" s="884"/>
      <c r="DN29" s="884"/>
      <c r="DO29" s="884"/>
      <c r="DP29" s="884"/>
      <c r="DQ29" s="884"/>
      <c r="DR29" s="884"/>
      <c r="DS29" s="884"/>
      <c r="DT29" s="884"/>
      <c r="DU29" s="884"/>
      <c r="DV29" s="884"/>
      <c r="DW29" s="884"/>
      <c r="DX29" s="884"/>
      <c r="DY29" s="884"/>
      <c r="DZ29" s="884"/>
      <c r="EA29" s="884"/>
      <c r="EB29" s="884"/>
      <c r="EC29" s="884"/>
      <c r="ED29" s="884"/>
      <c r="EE29" s="884"/>
      <c r="EF29" s="884"/>
      <c r="EG29" s="884"/>
      <c r="EH29" s="884"/>
      <c r="EI29" s="884"/>
      <c r="EJ29" s="884"/>
      <c r="EK29" s="884"/>
      <c r="EL29" s="884"/>
      <c r="EM29" s="884"/>
      <c r="EN29" s="884"/>
      <c r="EO29" s="884"/>
      <c r="EP29" s="884"/>
      <c r="EQ29" s="884"/>
      <c r="ER29" s="884"/>
      <c r="ES29" s="884"/>
      <c r="ET29" s="884"/>
      <c r="EU29" s="884"/>
      <c r="EV29" s="884"/>
      <c r="EW29" s="884"/>
      <c r="EX29" s="884"/>
      <c r="EY29" s="884"/>
      <c r="EZ29" s="884"/>
      <c r="FA29" s="884"/>
      <c r="FB29" s="884"/>
      <c r="FC29" s="884"/>
      <c r="FD29" s="884"/>
      <c r="FE29" s="884"/>
      <c r="FF29" s="884"/>
      <c r="FG29" s="884"/>
      <c r="FH29" s="884"/>
      <c r="FI29" s="884"/>
      <c r="FJ29" s="884"/>
      <c r="FK29" s="884"/>
      <c r="FL29" s="884"/>
      <c r="FM29" s="884"/>
      <c r="FN29" s="884"/>
      <c r="FO29" s="884"/>
      <c r="FP29" s="884"/>
      <c r="FQ29" s="884"/>
      <c r="FR29" s="884"/>
      <c r="FS29" s="884"/>
      <c r="FT29" s="884"/>
      <c r="FU29" s="884"/>
      <c r="FV29" s="884"/>
      <c r="FW29" s="884"/>
      <c r="FX29" s="884"/>
      <c r="FY29" s="884"/>
      <c r="FZ29" s="884"/>
      <c r="GA29" s="884"/>
      <c r="GB29" s="884"/>
      <c r="GC29" s="884"/>
      <c r="GD29" s="884"/>
      <c r="GE29" s="884"/>
      <c r="GF29" s="884"/>
      <c r="GG29" s="884"/>
      <c r="GH29" s="884"/>
      <c r="GI29" s="884"/>
      <c r="GJ29" s="884"/>
      <c r="GK29" s="884"/>
      <c r="GL29" s="884"/>
      <c r="GM29" s="884"/>
      <c r="GN29" s="884"/>
      <c r="GO29" s="884"/>
      <c r="GP29" s="884"/>
      <c r="GQ29" s="884"/>
      <c r="GR29" s="884"/>
      <c r="GS29" s="884"/>
      <c r="GT29" s="884"/>
      <c r="GU29" s="884"/>
      <c r="GV29" s="884"/>
      <c r="GW29" s="884"/>
      <c r="GX29" s="884"/>
      <c r="GY29" s="884"/>
      <c r="GZ29" s="884"/>
      <c r="HA29" s="884"/>
      <c r="HB29" s="884"/>
      <c r="HC29" s="884"/>
      <c r="HD29" s="884"/>
      <c r="HE29" s="884"/>
      <c r="HF29" s="884"/>
      <c r="HG29" s="884"/>
      <c r="HH29" s="884"/>
      <c r="HI29" s="884"/>
      <c r="HJ29" s="884"/>
      <c r="HK29" s="884"/>
      <c r="HL29" s="884"/>
      <c r="HM29" s="884"/>
      <c r="HN29" s="884"/>
      <c r="HO29" s="884"/>
      <c r="HP29" s="884"/>
      <c r="HQ29" s="884"/>
      <c r="HR29" s="884"/>
      <c r="HS29" s="884"/>
      <c r="HT29" s="884"/>
      <c r="HU29" s="884"/>
      <c r="HV29" s="884"/>
      <c r="HW29" s="884"/>
      <c r="HX29" s="884"/>
      <c r="HY29" s="884"/>
      <c r="HZ29" s="884"/>
      <c r="IA29" s="884"/>
      <c r="IB29" s="884"/>
      <c r="IC29" s="884"/>
      <c r="ID29" s="884"/>
      <c r="IE29" s="884"/>
      <c r="IF29" s="884"/>
      <c r="IG29" s="884"/>
      <c r="IH29" s="884"/>
      <c r="II29" s="884"/>
      <c r="IJ29" s="884"/>
      <c r="IK29" s="884"/>
      <c r="IL29" s="884"/>
      <c r="IM29" s="884"/>
      <c r="IN29" s="884"/>
      <c r="IO29" s="884"/>
      <c r="IP29" s="884"/>
      <c r="IQ29" s="884"/>
      <c r="IR29" s="884"/>
      <c r="IS29" s="884"/>
      <c r="IT29" s="884"/>
      <c r="IU29" s="884"/>
      <c r="IV29" s="884"/>
    </row>
    <row r="30" spans="1:256" s="883" customFormat="1" ht="30" x14ac:dyDescent="0.2">
      <c r="A30" s="902"/>
      <c r="B30" s="903"/>
      <c r="C30" s="4019"/>
      <c r="D30" s="4020"/>
      <c r="E30" s="931"/>
      <c r="F30" s="938"/>
      <c r="G30" s="4037">
        <v>184</v>
      </c>
      <c r="H30" s="4038" t="s">
        <v>781</v>
      </c>
      <c r="I30" s="3982" t="s">
        <v>782</v>
      </c>
      <c r="J30" s="4040">
        <v>1</v>
      </c>
      <c r="K30" s="939"/>
      <c r="L30" s="4002" t="s">
        <v>783</v>
      </c>
      <c r="M30" s="4042" t="s">
        <v>784</v>
      </c>
      <c r="N30" s="4005">
        <f>SUM(S30:S36)/O30</f>
        <v>0.52774498229043687</v>
      </c>
      <c r="O30" s="4009">
        <f>SUM(S30:S42)</f>
        <v>169400000</v>
      </c>
      <c r="P30" s="4045" t="s">
        <v>785</v>
      </c>
      <c r="Q30" s="2623" t="s">
        <v>786</v>
      </c>
      <c r="R30" s="911" t="s">
        <v>787</v>
      </c>
      <c r="S30" s="935">
        <f>12600000-6100000</f>
        <v>6500000</v>
      </c>
      <c r="T30" s="2490" t="s">
        <v>61</v>
      </c>
      <c r="U30" s="2485" t="s">
        <v>357</v>
      </c>
      <c r="V30" s="3996">
        <v>8575</v>
      </c>
      <c r="W30" s="3996">
        <v>8925</v>
      </c>
      <c r="X30" s="3999">
        <v>12000</v>
      </c>
      <c r="Y30" s="3999">
        <v>4000</v>
      </c>
      <c r="Z30" s="3999">
        <v>1500</v>
      </c>
      <c r="AA30" s="3999"/>
      <c r="AB30" s="3999"/>
      <c r="AC30" s="3999"/>
      <c r="AD30" s="3999"/>
      <c r="AE30" s="3999"/>
      <c r="AF30" s="3999"/>
      <c r="AG30" s="3999"/>
      <c r="AH30" s="3999"/>
      <c r="AI30" s="3999"/>
      <c r="AJ30" s="3999"/>
      <c r="AK30" s="3999">
        <f>X30+Y30+Z30</f>
        <v>17500</v>
      </c>
      <c r="AL30" s="4013">
        <v>43467</v>
      </c>
      <c r="AM30" s="4013">
        <v>43830</v>
      </c>
      <c r="AN30" s="2622" t="s">
        <v>751</v>
      </c>
      <c r="AT30" s="884"/>
      <c r="AU30" s="884"/>
      <c r="AV30" s="884"/>
      <c r="AW30" s="884"/>
      <c r="AX30" s="884"/>
      <c r="AY30" s="884"/>
      <c r="AZ30" s="884"/>
      <c r="BA30" s="884"/>
      <c r="BB30" s="884"/>
      <c r="BC30" s="884"/>
      <c r="BD30" s="884"/>
      <c r="BE30" s="884"/>
      <c r="BF30" s="884"/>
      <c r="BG30" s="884"/>
      <c r="BH30" s="884"/>
      <c r="BI30" s="884"/>
      <c r="BJ30" s="884"/>
      <c r="BK30" s="884"/>
      <c r="BL30" s="884"/>
      <c r="BM30" s="884"/>
      <c r="BN30" s="884"/>
      <c r="BO30" s="884"/>
      <c r="BP30" s="884"/>
      <c r="BQ30" s="884"/>
      <c r="BR30" s="884"/>
      <c r="BS30" s="884"/>
      <c r="BT30" s="884"/>
      <c r="BU30" s="884"/>
      <c r="BV30" s="884"/>
      <c r="BW30" s="884"/>
      <c r="BX30" s="884"/>
      <c r="BY30" s="884"/>
      <c r="BZ30" s="884"/>
      <c r="CA30" s="884"/>
      <c r="CB30" s="884"/>
      <c r="CC30" s="884"/>
      <c r="CD30" s="884"/>
      <c r="CE30" s="884"/>
      <c r="CF30" s="884"/>
      <c r="CG30" s="884"/>
      <c r="CH30" s="884"/>
      <c r="CI30" s="884"/>
      <c r="CJ30" s="884"/>
      <c r="CK30" s="884"/>
      <c r="CL30" s="884"/>
      <c r="CM30" s="884"/>
      <c r="CN30" s="884"/>
      <c r="CO30" s="884"/>
      <c r="CP30" s="884"/>
      <c r="CQ30" s="884"/>
      <c r="CR30" s="884"/>
      <c r="CS30" s="884"/>
      <c r="CT30" s="884"/>
      <c r="CU30" s="884"/>
      <c r="CV30" s="884"/>
      <c r="CW30" s="884"/>
      <c r="CX30" s="884"/>
      <c r="CY30" s="884"/>
      <c r="CZ30" s="884"/>
      <c r="DA30" s="884"/>
      <c r="DB30" s="884"/>
      <c r="DC30" s="884"/>
      <c r="DD30" s="884"/>
      <c r="DE30" s="884"/>
      <c r="DF30" s="884"/>
      <c r="DG30" s="884"/>
      <c r="DH30" s="884"/>
      <c r="DI30" s="884"/>
      <c r="DJ30" s="884"/>
      <c r="DK30" s="884"/>
      <c r="DL30" s="884"/>
      <c r="DM30" s="884"/>
      <c r="DN30" s="884"/>
      <c r="DO30" s="884"/>
      <c r="DP30" s="884"/>
      <c r="DQ30" s="884"/>
      <c r="DR30" s="884"/>
      <c r="DS30" s="884"/>
      <c r="DT30" s="884"/>
      <c r="DU30" s="884"/>
      <c r="DV30" s="884"/>
      <c r="DW30" s="884"/>
      <c r="DX30" s="884"/>
      <c r="DY30" s="884"/>
      <c r="DZ30" s="884"/>
      <c r="EA30" s="884"/>
      <c r="EB30" s="884"/>
      <c r="EC30" s="884"/>
      <c r="ED30" s="884"/>
      <c r="EE30" s="884"/>
      <c r="EF30" s="884"/>
      <c r="EG30" s="884"/>
      <c r="EH30" s="884"/>
      <c r="EI30" s="884"/>
      <c r="EJ30" s="884"/>
      <c r="EK30" s="884"/>
      <c r="EL30" s="884"/>
      <c r="EM30" s="884"/>
      <c r="EN30" s="884"/>
      <c r="EO30" s="884"/>
      <c r="EP30" s="884"/>
      <c r="EQ30" s="884"/>
      <c r="ER30" s="884"/>
      <c r="ES30" s="884"/>
      <c r="ET30" s="884"/>
      <c r="EU30" s="884"/>
      <c r="EV30" s="884"/>
      <c r="EW30" s="884"/>
      <c r="EX30" s="884"/>
      <c r="EY30" s="884"/>
      <c r="EZ30" s="884"/>
      <c r="FA30" s="884"/>
      <c r="FB30" s="884"/>
      <c r="FC30" s="884"/>
      <c r="FD30" s="884"/>
      <c r="FE30" s="884"/>
      <c r="FF30" s="884"/>
      <c r="FG30" s="884"/>
      <c r="FH30" s="884"/>
      <c r="FI30" s="884"/>
      <c r="FJ30" s="884"/>
      <c r="FK30" s="884"/>
      <c r="FL30" s="884"/>
      <c r="FM30" s="884"/>
      <c r="FN30" s="884"/>
      <c r="FO30" s="884"/>
      <c r="FP30" s="884"/>
      <c r="FQ30" s="884"/>
      <c r="FR30" s="884"/>
      <c r="FS30" s="884"/>
      <c r="FT30" s="884"/>
      <c r="FU30" s="884"/>
      <c r="FV30" s="884"/>
      <c r="FW30" s="884"/>
      <c r="FX30" s="884"/>
      <c r="FY30" s="884"/>
      <c r="FZ30" s="884"/>
      <c r="GA30" s="884"/>
      <c r="GB30" s="884"/>
      <c r="GC30" s="884"/>
      <c r="GD30" s="884"/>
      <c r="GE30" s="884"/>
      <c r="GF30" s="884"/>
      <c r="GG30" s="884"/>
      <c r="GH30" s="884"/>
      <c r="GI30" s="884"/>
      <c r="GJ30" s="884"/>
      <c r="GK30" s="884"/>
      <c r="GL30" s="884"/>
      <c r="GM30" s="884"/>
      <c r="GN30" s="884"/>
      <c r="GO30" s="884"/>
      <c r="GP30" s="884"/>
      <c r="GQ30" s="884"/>
      <c r="GR30" s="884"/>
      <c r="GS30" s="884"/>
      <c r="GT30" s="884"/>
      <c r="GU30" s="884"/>
      <c r="GV30" s="884"/>
      <c r="GW30" s="884"/>
      <c r="GX30" s="884"/>
      <c r="GY30" s="884"/>
      <c r="GZ30" s="884"/>
      <c r="HA30" s="884"/>
      <c r="HB30" s="884"/>
      <c r="HC30" s="884"/>
      <c r="HD30" s="884"/>
      <c r="HE30" s="884"/>
      <c r="HF30" s="884"/>
      <c r="HG30" s="884"/>
      <c r="HH30" s="884"/>
      <c r="HI30" s="884"/>
      <c r="HJ30" s="884"/>
      <c r="HK30" s="884"/>
      <c r="HL30" s="884"/>
      <c r="HM30" s="884"/>
      <c r="HN30" s="884"/>
      <c r="HO30" s="884"/>
      <c r="HP30" s="884"/>
      <c r="HQ30" s="884"/>
      <c r="HR30" s="884"/>
      <c r="HS30" s="884"/>
      <c r="HT30" s="884"/>
      <c r="HU30" s="884"/>
      <c r="HV30" s="884"/>
      <c r="HW30" s="884"/>
      <c r="HX30" s="884"/>
      <c r="HY30" s="884"/>
      <c r="HZ30" s="884"/>
      <c r="IA30" s="884"/>
      <c r="IB30" s="884"/>
      <c r="IC30" s="884"/>
      <c r="ID30" s="884"/>
      <c r="IE30" s="884"/>
      <c r="IF30" s="884"/>
      <c r="IG30" s="884"/>
      <c r="IH30" s="884"/>
      <c r="II30" s="884"/>
      <c r="IJ30" s="884"/>
      <c r="IK30" s="884"/>
      <c r="IL30" s="884"/>
      <c r="IM30" s="884"/>
      <c r="IN30" s="884"/>
      <c r="IO30" s="884"/>
      <c r="IP30" s="884"/>
      <c r="IQ30" s="884"/>
      <c r="IR30" s="884"/>
      <c r="IS30" s="884"/>
      <c r="IT30" s="884"/>
      <c r="IU30" s="884"/>
      <c r="IV30" s="884"/>
    </row>
    <row r="31" spans="1:256" s="883" customFormat="1" ht="30" x14ac:dyDescent="0.2">
      <c r="A31" s="902"/>
      <c r="B31" s="903"/>
      <c r="C31" s="4019"/>
      <c r="D31" s="4020"/>
      <c r="E31" s="931"/>
      <c r="F31" s="938"/>
      <c r="G31" s="4037"/>
      <c r="H31" s="4039"/>
      <c r="I31" s="3983"/>
      <c r="J31" s="4041"/>
      <c r="K31" s="940"/>
      <c r="L31" s="4003"/>
      <c r="M31" s="4043"/>
      <c r="N31" s="4006"/>
      <c r="O31" s="4009"/>
      <c r="P31" s="4045"/>
      <c r="Q31" s="2623"/>
      <c r="R31" s="2495" t="s">
        <v>788</v>
      </c>
      <c r="S31" s="941">
        <f>12100000-5600000</f>
        <v>6500000</v>
      </c>
      <c r="T31" s="2490" t="s">
        <v>61</v>
      </c>
      <c r="U31" s="2485" t="s">
        <v>357</v>
      </c>
      <c r="V31" s="3997"/>
      <c r="W31" s="3997"/>
      <c r="X31" s="4000"/>
      <c r="Y31" s="4000"/>
      <c r="Z31" s="4000"/>
      <c r="AA31" s="4000"/>
      <c r="AB31" s="4000"/>
      <c r="AC31" s="4000"/>
      <c r="AD31" s="4000"/>
      <c r="AE31" s="4000"/>
      <c r="AF31" s="4000"/>
      <c r="AG31" s="4000"/>
      <c r="AH31" s="4000"/>
      <c r="AI31" s="4000"/>
      <c r="AJ31" s="4000"/>
      <c r="AK31" s="4000"/>
      <c r="AL31" s="4013"/>
      <c r="AM31" s="4013"/>
      <c r="AN31" s="2622"/>
      <c r="AT31" s="884"/>
      <c r="AU31" s="884"/>
      <c r="AV31" s="884"/>
      <c r="AW31" s="884"/>
      <c r="AX31" s="884"/>
      <c r="AY31" s="884"/>
      <c r="AZ31" s="884"/>
      <c r="BA31" s="884"/>
      <c r="BB31" s="884"/>
      <c r="BC31" s="884"/>
      <c r="BD31" s="884"/>
      <c r="BE31" s="884"/>
      <c r="BF31" s="884"/>
      <c r="BG31" s="884"/>
      <c r="BH31" s="884"/>
      <c r="BI31" s="884"/>
      <c r="BJ31" s="884"/>
      <c r="BK31" s="884"/>
      <c r="BL31" s="884"/>
      <c r="BM31" s="884"/>
      <c r="BN31" s="884"/>
      <c r="BO31" s="884"/>
      <c r="BP31" s="884"/>
      <c r="BQ31" s="884"/>
      <c r="BR31" s="884"/>
      <c r="BS31" s="884"/>
      <c r="BT31" s="884"/>
      <c r="BU31" s="884"/>
      <c r="BV31" s="884"/>
      <c r="BW31" s="884"/>
      <c r="BX31" s="884"/>
      <c r="BY31" s="884"/>
      <c r="BZ31" s="884"/>
      <c r="CA31" s="884"/>
      <c r="CB31" s="884"/>
      <c r="CC31" s="884"/>
      <c r="CD31" s="884"/>
      <c r="CE31" s="884"/>
      <c r="CF31" s="884"/>
      <c r="CG31" s="884"/>
      <c r="CH31" s="884"/>
      <c r="CI31" s="884"/>
      <c r="CJ31" s="884"/>
      <c r="CK31" s="884"/>
      <c r="CL31" s="884"/>
      <c r="CM31" s="884"/>
      <c r="CN31" s="884"/>
      <c r="CO31" s="884"/>
      <c r="CP31" s="884"/>
      <c r="CQ31" s="884"/>
      <c r="CR31" s="884"/>
      <c r="CS31" s="884"/>
      <c r="CT31" s="884"/>
      <c r="CU31" s="884"/>
      <c r="CV31" s="884"/>
      <c r="CW31" s="884"/>
      <c r="CX31" s="884"/>
      <c r="CY31" s="884"/>
      <c r="CZ31" s="884"/>
      <c r="DA31" s="884"/>
      <c r="DB31" s="884"/>
      <c r="DC31" s="884"/>
      <c r="DD31" s="884"/>
      <c r="DE31" s="884"/>
      <c r="DF31" s="884"/>
      <c r="DG31" s="884"/>
      <c r="DH31" s="884"/>
      <c r="DI31" s="884"/>
      <c r="DJ31" s="884"/>
      <c r="DK31" s="884"/>
      <c r="DL31" s="884"/>
      <c r="DM31" s="884"/>
      <c r="DN31" s="884"/>
      <c r="DO31" s="884"/>
      <c r="DP31" s="884"/>
      <c r="DQ31" s="884"/>
      <c r="DR31" s="884"/>
      <c r="DS31" s="884"/>
      <c r="DT31" s="884"/>
      <c r="DU31" s="884"/>
      <c r="DV31" s="884"/>
      <c r="DW31" s="884"/>
      <c r="DX31" s="884"/>
      <c r="DY31" s="884"/>
      <c r="DZ31" s="884"/>
      <c r="EA31" s="884"/>
      <c r="EB31" s="884"/>
      <c r="EC31" s="884"/>
      <c r="ED31" s="884"/>
      <c r="EE31" s="884"/>
      <c r="EF31" s="884"/>
      <c r="EG31" s="884"/>
      <c r="EH31" s="884"/>
      <c r="EI31" s="884"/>
      <c r="EJ31" s="884"/>
      <c r="EK31" s="884"/>
      <c r="EL31" s="884"/>
      <c r="EM31" s="884"/>
      <c r="EN31" s="884"/>
      <c r="EO31" s="884"/>
      <c r="EP31" s="884"/>
      <c r="EQ31" s="884"/>
      <c r="ER31" s="884"/>
      <c r="ES31" s="884"/>
      <c r="ET31" s="884"/>
      <c r="EU31" s="884"/>
      <c r="EV31" s="884"/>
      <c r="EW31" s="884"/>
      <c r="EX31" s="884"/>
      <c r="EY31" s="884"/>
      <c r="EZ31" s="884"/>
      <c r="FA31" s="884"/>
      <c r="FB31" s="884"/>
      <c r="FC31" s="884"/>
      <c r="FD31" s="884"/>
      <c r="FE31" s="884"/>
      <c r="FF31" s="884"/>
      <c r="FG31" s="884"/>
      <c r="FH31" s="884"/>
      <c r="FI31" s="884"/>
      <c r="FJ31" s="884"/>
      <c r="FK31" s="884"/>
      <c r="FL31" s="884"/>
      <c r="FM31" s="884"/>
      <c r="FN31" s="884"/>
      <c r="FO31" s="884"/>
      <c r="FP31" s="884"/>
      <c r="FQ31" s="884"/>
      <c r="FR31" s="884"/>
      <c r="FS31" s="884"/>
      <c r="FT31" s="884"/>
      <c r="FU31" s="884"/>
      <c r="FV31" s="884"/>
      <c r="FW31" s="884"/>
      <c r="FX31" s="884"/>
      <c r="FY31" s="884"/>
      <c r="FZ31" s="884"/>
      <c r="GA31" s="884"/>
      <c r="GB31" s="884"/>
      <c r="GC31" s="884"/>
      <c r="GD31" s="884"/>
      <c r="GE31" s="884"/>
      <c r="GF31" s="884"/>
      <c r="GG31" s="884"/>
      <c r="GH31" s="884"/>
      <c r="GI31" s="884"/>
      <c r="GJ31" s="884"/>
      <c r="GK31" s="884"/>
      <c r="GL31" s="884"/>
      <c r="GM31" s="884"/>
      <c r="GN31" s="884"/>
      <c r="GO31" s="884"/>
      <c r="GP31" s="884"/>
      <c r="GQ31" s="884"/>
      <c r="GR31" s="884"/>
      <c r="GS31" s="884"/>
      <c r="GT31" s="884"/>
      <c r="GU31" s="884"/>
      <c r="GV31" s="884"/>
      <c r="GW31" s="884"/>
      <c r="GX31" s="884"/>
      <c r="GY31" s="884"/>
      <c r="GZ31" s="884"/>
      <c r="HA31" s="884"/>
      <c r="HB31" s="884"/>
      <c r="HC31" s="884"/>
      <c r="HD31" s="884"/>
      <c r="HE31" s="884"/>
      <c r="HF31" s="884"/>
      <c r="HG31" s="884"/>
      <c r="HH31" s="884"/>
      <c r="HI31" s="884"/>
      <c r="HJ31" s="884"/>
      <c r="HK31" s="884"/>
      <c r="HL31" s="884"/>
      <c r="HM31" s="884"/>
      <c r="HN31" s="884"/>
      <c r="HO31" s="884"/>
      <c r="HP31" s="884"/>
      <c r="HQ31" s="884"/>
      <c r="HR31" s="884"/>
      <c r="HS31" s="884"/>
      <c r="HT31" s="884"/>
      <c r="HU31" s="884"/>
      <c r="HV31" s="884"/>
      <c r="HW31" s="884"/>
      <c r="HX31" s="884"/>
      <c r="HY31" s="884"/>
      <c r="HZ31" s="884"/>
      <c r="IA31" s="884"/>
      <c r="IB31" s="884"/>
      <c r="IC31" s="884"/>
      <c r="ID31" s="884"/>
      <c r="IE31" s="884"/>
      <c r="IF31" s="884"/>
      <c r="IG31" s="884"/>
      <c r="IH31" s="884"/>
      <c r="II31" s="884"/>
      <c r="IJ31" s="884"/>
      <c r="IK31" s="884"/>
      <c r="IL31" s="884"/>
      <c r="IM31" s="884"/>
      <c r="IN31" s="884"/>
      <c r="IO31" s="884"/>
      <c r="IP31" s="884"/>
      <c r="IQ31" s="884"/>
      <c r="IR31" s="884"/>
      <c r="IS31" s="884"/>
      <c r="IT31" s="884"/>
      <c r="IU31" s="884"/>
      <c r="IV31" s="884"/>
    </row>
    <row r="32" spans="1:256" s="883" customFormat="1" ht="51" customHeight="1" x14ac:dyDescent="0.2">
      <c r="A32" s="902"/>
      <c r="B32" s="903"/>
      <c r="C32" s="4019"/>
      <c r="D32" s="4020"/>
      <c r="E32" s="931"/>
      <c r="F32" s="938"/>
      <c r="G32" s="4037"/>
      <c r="H32" s="4039"/>
      <c r="I32" s="3983"/>
      <c r="J32" s="4041"/>
      <c r="K32" s="940"/>
      <c r="L32" s="4003"/>
      <c r="M32" s="4043"/>
      <c r="N32" s="4006"/>
      <c r="O32" s="4009"/>
      <c r="P32" s="4045"/>
      <c r="Q32" s="2623"/>
      <c r="R32" s="2495" t="s">
        <v>789</v>
      </c>
      <c r="S32" s="934">
        <f>20000000+10170000</f>
        <v>30170000</v>
      </c>
      <c r="T32" s="2490" t="s">
        <v>61</v>
      </c>
      <c r="U32" s="2485" t="s">
        <v>357</v>
      </c>
      <c r="V32" s="3997"/>
      <c r="W32" s="3997"/>
      <c r="X32" s="4000"/>
      <c r="Y32" s="4000"/>
      <c r="Z32" s="4000"/>
      <c r="AA32" s="4000"/>
      <c r="AB32" s="4000"/>
      <c r="AC32" s="4000"/>
      <c r="AD32" s="4000"/>
      <c r="AE32" s="4000"/>
      <c r="AF32" s="4000"/>
      <c r="AG32" s="4000"/>
      <c r="AH32" s="4000"/>
      <c r="AI32" s="4000"/>
      <c r="AJ32" s="4000"/>
      <c r="AK32" s="4000"/>
      <c r="AL32" s="4013"/>
      <c r="AM32" s="4013"/>
      <c r="AN32" s="2622"/>
      <c r="AT32" s="884"/>
      <c r="AU32" s="884"/>
      <c r="AV32" s="884"/>
      <c r="AW32" s="884"/>
      <c r="AX32" s="884"/>
      <c r="AY32" s="884"/>
      <c r="AZ32" s="884"/>
      <c r="BA32" s="884"/>
      <c r="BB32" s="884"/>
      <c r="BC32" s="884"/>
      <c r="BD32" s="884"/>
      <c r="BE32" s="884"/>
      <c r="BF32" s="884"/>
      <c r="BG32" s="884"/>
      <c r="BH32" s="884"/>
      <c r="BI32" s="884"/>
      <c r="BJ32" s="884"/>
      <c r="BK32" s="884"/>
      <c r="BL32" s="884"/>
      <c r="BM32" s="884"/>
      <c r="BN32" s="884"/>
      <c r="BO32" s="884"/>
      <c r="BP32" s="884"/>
      <c r="BQ32" s="884"/>
      <c r="BR32" s="884"/>
      <c r="BS32" s="884"/>
      <c r="BT32" s="884"/>
      <c r="BU32" s="884"/>
      <c r="BV32" s="884"/>
      <c r="BW32" s="884"/>
      <c r="BX32" s="884"/>
      <c r="BY32" s="884"/>
      <c r="BZ32" s="884"/>
      <c r="CA32" s="884"/>
      <c r="CB32" s="884"/>
      <c r="CC32" s="884"/>
      <c r="CD32" s="884"/>
      <c r="CE32" s="884"/>
      <c r="CF32" s="884"/>
      <c r="CG32" s="884"/>
      <c r="CH32" s="884"/>
      <c r="CI32" s="884"/>
      <c r="CJ32" s="884"/>
      <c r="CK32" s="884"/>
      <c r="CL32" s="884"/>
      <c r="CM32" s="884"/>
      <c r="CN32" s="884"/>
      <c r="CO32" s="884"/>
      <c r="CP32" s="884"/>
      <c r="CQ32" s="884"/>
      <c r="CR32" s="884"/>
      <c r="CS32" s="884"/>
      <c r="CT32" s="884"/>
      <c r="CU32" s="884"/>
      <c r="CV32" s="884"/>
      <c r="CW32" s="884"/>
      <c r="CX32" s="884"/>
      <c r="CY32" s="884"/>
      <c r="CZ32" s="884"/>
      <c r="DA32" s="884"/>
      <c r="DB32" s="884"/>
      <c r="DC32" s="884"/>
      <c r="DD32" s="884"/>
      <c r="DE32" s="884"/>
      <c r="DF32" s="884"/>
      <c r="DG32" s="884"/>
      <c r="DH32" s="884"/>
      <c r="DI32" s="884"/>
      <c r="DJ32" s="884"/>
      <c r="DK32" s="884"/>
      <c r="DL32" s="884"/>
      <c r="DM32" s="884"/>
      <c r="DN32" s="884"/>
      <c r="DO32" s="884"/>
      <c r="DP32" s="884"/>
      <c r="DQ32" s="884"/>
      <c r="DR32" s="884"/>
      <c r="DS32" s="884"/>
      <c r="DT32" s="884"/>
      <c r="DU32" s="884"/>
      <c r="DV32" s="884"/>
      <c r="DW32" s="884"/>
      <c r="DX32" s="884"/>
      <c r="DY32" s="884"/>
      <c r="DZ32" s="884"/>
      <c r="EA32" s="884"/>
      <c r="EB32" s="884"/>
      <c r="EC32" s="884"/>
      <c r="ED32" s="884"/>
      <c r="EE32" s="884"/>
      <c r="EF32" s="884"/>
      <c r="EG32" s="884"/>
      <c r="EH32" s="884"/>
      <c r="EI32" s="884"/>
      <c r="EJ32" s="884"/>
      <c r="EK32" s="884"/>
      <c r="EL32" s="884"/>
      <c r="EM32" s="884"/>
      <c r="EN32" s="884"/>
      <c r="EO32" s="884"/>
      <c r="EP32" s="884"/>
      <c r="EQ32" s="884"/>
      <c r="ER32" s="884"/>
      <c r="ES32" s="884"/>
      <c r="ET32" s="884"/>
      <c r="EU32" s="884"/>
      <c r="EV32" s="884"/>
      <c r="EW32" s="884"/>
      <c r="EX32" s="884"/>
      <c r="EY32" s="884"/>
      <c r="EZ32" s="884"/>
      <c r="FA32" s="884"/>
      <c r="FB32" s="884"/>
      <c r="FC32" s="884"/>
      <c r="FD32" s="884"/>
      <c r="FE32" s="884"/>
      <c r="FF32" s="884"/>
      <c r="FG32" s="884"/>
      <c r="FH32" s="884"/>
      <c r="FI32" s="884"/>
      <c r="FJ32" s="884"/>
      <c r="FK32" s="884"/>
      <c r="FL32" s="884"/>
      <c r="FM32" s="884"/>
      <c r="FN32" s="884"/>
      <c r="FO32" s="884"/>
      <c r="FP32" s="884"/>
      <c r="FQ32" s="884"/>
      <c r="FR32" s="884"/>
      <c r="FS32" s="884"/>
      <c r="FT32" s="884"/>
      <c r="FU32" s="884"/>
      <c r="FV32" s="884"/>
      <c r="FW32" s="884"/>
      <c r="FX32" s="884"/>
      <c r="FY32" s="884"/>
      <c r="FZ32" s="884"/>
      <c r="GA32" s="884"/>
      <c r="GB32" s="884"/>
      <c r="GC32" s="884"/>
      <c r="GD32" s="884"/>
      <c r="GE32" s="884"/>
      <c r="GF32" s="884"/>
      <c r="GG32" s="884"/>
      <c r="GH32" s="884"/>
      <c r="GI32" s="884"/>
      <c r="GJ32" s="884"/>
      <c r="GK32" s="884"/>
      <c r="GL32" s="884"/>
      <c r="GM32" s="884"/>
      <c r="GN32" s="884"/>
      <c r="GO32" s="884"/>
      <c r="GP32" s="884"/>
      <c r="GQ32" s="884"/>
      <c r="GR32" s="884"/>
      <c r="GS32" s="884"/>
      <c r="GT32" s="884"/>
      <c r="GU32" s="884"/>
      <c r="GV32" s="884"/>
      <c r="GW32" s="884"/>
      <c r="GX32" s="884"/>
      <c r="GY32" s="884"/>
      <c r="GZ32" s="884"/>
      <c r="HA32" s="884"/>
      <c r="HB32" s="884"/>
      <c r="HC32" s="884"/>
      <c r="HD32" s="884"/>
      <c r="HE32" s="884"/>
      <c r="HF32" s="884"/>
      <c r="HG32" s="884"/>
      <c r="HH32" s="884"/>
      <c r="HI32" s="884"/>
      <c r="HJ32" s="884"/>
      <c r="HK32" s="884"/>
      <c r="HL32" s="884"/>
      <c r="HM32" s="884"/>
      <c r="HN32" s="884"/>
      <c r="HO32" s="884"/>
      <c r="HP32" s="884"/>
      <c r="HQ32" s="884"/>
      <c r="HR32" s="884"/>
      <c r="HS32" s="884"/>
      <c r="HT32" s="884"/>
      <c r="HU32" s="884"/>
      <c r="HV32" s="884"/>
      <c r="HW32" s="884"/>
      <c r="HX32" s="884"/>
      <c r="HY32" s="884"/>
      <c r="HZ32" s="884"/>
      <c r="IA32" s="884"/>
      <c r="IB32" s="884"/>
      <c r="IC32" s="884"/>
      <c r="ID32" s="884"/>
      <c r="IE32" s="884"/>
      <c r="IF32" s="884"/>
      <c r="IG32" s="884"/>
      <c r="IH32" s="884"/>
      <c r="II32" s="884"/>
      <c r="IJ32" s="884"/>
      <c r="IK32" s="884"/>
      <c r="IL32" s="884"/>
      <c r="IM32" s="884"/>
      <c r="IN32" s="884"/>
      <c r="IO32" s="884"/>
      <c r="IP32" s="884"/>
      <c r="IQ32" s="884"/>
      <c r="IR32" s="884"/>
      <c r="IS32" s="884"/>
      <c r="IT32" s="884"/>
      <c r="IU32" s="884"/>
      <c r="IV32" s="884"/>
    </row>
    <row r="33" spans="1:256" s="883" customFormat="1" ht="42.75" x14ac:dyDescent="0.2">
      <c r="A33" s="902"/>
      <c r="B33" s="903"/>
      <c r="C33" s="4019"/>
      <c r="D33" s="4020"/>
      <c r="E33" s="931"/>
      <c r="F33" s="938"/>
      <c r="G33" s="4037"/>
      <c r="H33" s="4039"/>
      <c r="I33" s="3983"/>
      <c r="J33" s="4041"/>
      <c r="K33" s="940"/>
      <c r="L33" s="4003"/>
      <c r="M33" s="4043"/>
      <c r="N33" s="4006"/>
      <c r="O33" s="4009"/>
      <c r="P33" s="4045"/>
      <c r="Q33" s="2623"/>
      <c r="R33" s="2495" t="s">
        <v>790</v>
      </c>
      <c r="S33" s="934">
        <v>29400000</v>
      </c>
      <c r="T33" s="2490" t="s">
        <v>61</v>
      </c>
      <c r="U33" s="2485" t="s">
        <v>357</v>
      </c>
      <c r="V33" s="3997"/>
      <c r="W33" s="3997"/>
      <c r="X33" s="4000"/>
      <c r="Y33" s="4000"/>
      <c r="Z33" s="4000"/>
      <c r="AA33" s="4000"/>
      <c r="AB33" s="4000"/>
      <c r="AC33" s="4000"/>
      <c r="AD33" s="4000"/>
      <c r="AE33" s="4000"/>
      <c r="AF33" s="4000"/>
      <c r="AG33" s="4000"/>
      <c r="AH33" s="4000"/>
      <c r="AI33" s="4000"/>
      <c r="AJ33" s="4000"/>
      <c r="AK33" s="4000"/>
      <c r="AL33" s="4013"/>
      <c r="AM33" s="4013"/>
      <c r="AN33" s="2622"/>
      <c r="AT33" s="884"/>
      <c r="AU33" s="884"/>
      <c r="AV33" s="884"/>
      <c r="AW33" s="884"/>
      <c r="AX33" s="884"/>
      <c r="AY33" s="884"/>
      <c r="AZ33" s="884"/>
      <c r="BA33" s="884"/>
      <c r="BB33" s="884"/>
      <c r="BC33" s="884"/>
      <c r="BD33" s="884"/>
      <c r="BE33" s="884"/>
      <c r="BF33" s="884"/>
      <c r="BG33" s="884"/>
      <c r="BH33" s="884"/>
      <c r="BI33" s="884"/>
      <c r="BJ33" s="884"/>
      <c r="BK33" s="884"/>
      <c r="BL33" s="884"/>
      <c r="BM33" s="884"/>
      <c r="BN33" s="884"/>
      <c r="BO33" s="884"/>
      <c r="BP33" s="884"/>
      <c r="BQ33" s="884"/>
      <c r="BR33" s="884"/>
      <c r="BS33" s="884"/>
      <c r="BT33" s="884"/>
      <c r="BU33" s="884"/>
      <c r="BV33" s="884"/>
      <c r="BW33" s="884"/>
      <c r="BX33" s="884"/>
      <c r="BY33" s="884"/>
      <c r="BZ33" s="884"/>
      <c r="CA33" s="884"/>
      <c r="CB33" s="884"/>
      <c r="CC33" s="884"/>
      <c r="CD33" s="884"/>
      <c r="CE33" s="884"/>
      <c r="CF33" s="884"/>
      <c r="CG33" s="884"/>
      <c r="CH33" s="884"/>
      <c r="CI33" s="884"/>
      <c r="CJ33" s="884"/>
      <c r="CK33" s="884"/>
      <c r="CL33" s="884"/>
      <c r="CM33" s="884"/>
      <c r="CN33" s="884"/>
      <c r="CO33" s="884"/>
      <c r="CP33" s="884"/>
      <c r="CQ33" s="884"/>
      <c r="CR33" s="884"/>
      <c r="CS33" s="884"/>
      <c r="CT33" s="884"/>
      <c r="CU33" s="884"/>
      <c r="CV33" s="884"/>
      <c r="CW33" s="884"/>
      <c r="CX33" s="884"/>
      <c r="CY33" s="884"/>
      <c r="CZ33" s="884"/>
      <c r="DA33" s="884"/>
      <c r="DB33" s="884"/>
      <c r="DC33" s="884"/>
      <c r="DD33" s="884"/>
      <c r="DE33" s="884"/>
      <c r="DF33" s="884"/>
      <c r="DG33" s="884"/>
      <c r="DH33" s="884"/>
      <c r="DI33" s="884"/>
      <c r="DJ33" s="884"/>
      <c r="DK33" s="884"/>
      <c r="DL33" s="884"/>
      <c r="DM33" s="884"/>
      <c r="DN33" s="884"/>
      <c r="DO33" s="884"/>
      <c r="DP33" s="884"/>
      <c r="DQ33" s="884"/>
      <c r="DR33" s="884"/>
      <c r="DS33" s="884"/>
      <c r="DT33" s="884"/>
      <c r="DU33" s="884"/>
      <c r="DV33" s="884"/>
      <c r="DW33" s="884"/>
      <c r="DX33" s="884"/>
      <c r="DY33" s="884"/>
      <c r="DZ33" s="884"/>
      <c r="EA33" s="884"/>
      <c r="EB33" s="884"/>
      <c r="EC33" s="884"/>
      <c r="ED33" s="884"/>
      <c r="EE33" s="884"/>
      <c r="EF33" s="884"/>
      <c r="EG33" s="884"/>
      <c r="EH33" s="884"/>
      <c r="EI33" s="884"/>
      <c r="EJ33" s="884"/>
      <c r="EK33" s="884"/>
      <c r="EL33" s="884"/>
      <c r="EM33" s="884"/>
      <c r="EN33" s="884"/>
      <c r="EO33" s="884"/>
      <c r="EP33" s="884"/>
      <c r="EQ33" s="884"/>
      <c r="ER33" s="884"/>
      <c r="ES33" s="884"/>
      <c r="ET33" s="884"/>
      <c r="EU33" s="884"/>
      <c r="EV33" s="884"/>
      <c r="EW33" s="884"/>
      <c r="EX33" s="884"/>
      <c r="EY33" s="884"/>
      <c r="EZ33" s="884"/>
      <c r="FA33" s="884"/>
      <c r="FB33" s="884"/>
      <c r="FC33" s="884"/>
      <c r="FD33" s="884"/>
      <c r="FE33" s="884"/>
      <c r="FF33" s="884"/>
      <c r="FG33" s="884"/>
      <c r="FH33" s="884"/>
      <c r="FI33" s="884"/>
      <c r="FJ33" s="884"/>
      <c r="FK33" s="884"/>
      <c r="FL33" s="884"/>
      <c r="FM33" s="884"/>
      <c r="FN33" s="884"/>
      <c r="FO33" s="884"/>
      <c r="FP33" s="884"/>
      <c r="FQ33" s="884"/>
      <c r="FR33" s="884"/>
      <c r="FS33" s="884"/>
      <c r="FT33" s="884"/>
      <c r="FU33" s="884"/>
      <c r="FV33" s="884"/>
      <c r="FW33" s="884"/>
      <c r="FX33" s="884"/>
      <c r="FY33" s="884"/>
      <c r="FZ33" s="884"/>
      <c r="GA33" s="884"/>
      <c r="GB33" s="884"/>
      <c r="GC33" s="884"/>
      <c r="GD33" s="884"/>
      <c r="GE33" s="884"/>
      <c r="GF33" s="884"/>
      <c r="GG33" s="884"/>
      <c r="GH33" s="884"/>
      <c r="GI33" s="884"/>
      <c r="GJ33" s="884"/>
      <c r="GK33" s="884"/>
      <c r="GL33" s="884"/>
      <c r="GM33" s="884"/>
      <c r="GN33" s="884"/>
      <c r="GO33" s="884"/>
      <c r="GP33" s="884"/>
      <c r="GQ33" s="884"/>
      <c r="GR33" s="884"/>
      <c r="GS33" s="884"/>
      <c r="GT33" s="884"/>
      <c r="GU33" s="884"/>
      <c r="GV33" s="884"/>
      <c r="GW33" s="884"/>
      <c r="GX33" s="884"/>
      <c r="GY33" s="884"/>
      <c r="GZ33" s="884"/>
      <c r="HA33" s="884"/>
      <c r="HB33" s="884"/>
      <c r="HC33" s="884"/>
      <c r="HD33" s="884"/>
      <c r="HE33" s="884"/>
      <c r="HF33" s="884"/>
      <c r="HG33" s="884"/>
      <c r="HH33" s="884"/>
      <c r="HI33" s="884"/>
      <c r="HJ33" s="884"/>
      <c r="HK33" s="884"/>
      <c r="HL33" s="884"/>
      <c r="HM33" s="884"/>
      <c r="HN33" s="884"/>
      <c r="HO33" s="884"/>
      <c r="HP33" s="884"/>
      <c r="HQ33" s="884"/>
      <c r="HR33" s="884"/>
      <c r="HS33" s="884"/>
      <c r="HT33" s="884"/>
      <c r="HU33" s="884"/>
      <c r="HV33" s="884"/>
      <c r="HW33" s="884"/>
      <c r="HX33" s="884"/>
      <c r="HY33" s="884"/>
      <c r="HZ33" s="884"/>
      <c r="IA33" s="884"/>
      <c r="IB33" s="884"/>
      <c r="IC33" s="884"/>
      <c r="ID33" s="884"/>
      <c r="IE33" s="884"/>
      <c r="IF33" s="884"/>
      <c r="IG33" s="884"/>
      <c r="IH33" s="884"/>
      <c r="II33" s="884"/>
      <c r="IJ33" s="884"/>
      <c r="IK33" s="884"/>
      <c r="IL33" s="884"/>
      <c r="IM33" s="884"/>
      <c r="IN33" s="884"/>
      <c r="IO33" s="884"/>
      <c r="IP33" s="884"/>
      <c r="IQ33" s="884"/>
      <c r="IR33" s="884"/>
      <c r="IS33" s="884"/>
      <c r="IT33" s="884"/>
      <c r="IU33" s="884"/>
      <c r="IV33" s="884"/>
    </row>
    <row r="34" spans="1:256" s="883" customFormat="1" ht="57" x14ac:dyDescent="0.2">
      <c r="A34" s="902"/>
      <c r="B34" s="903"/>
      <c r="C34" s="4019"/>
      <c r="D34" s="4020"/>
      <c r="E34" s="931"/>
      <c r="F34" s="938"/>
      <c r="G34" s="4037"/>
      <c r="H34" s="4039"/>
      <c r="I34" s="3983"/>
      <c r="J34" s="4041"/>
      <c r="K34" s="2497"/>
      <c r="L34" s="4003"/>
      <c r="M34" s="4043"/>
      <c r="N34" s="4006"/>
      <c r="O34" s="4009"/>
      <c r="P34" s="4045"/>
      <c r="Q34" s="2623"/>
      <c r="R34" s="2495" t="s">
        <v>791</v>
      </c>
      <c r="S34" s="934">
        <f>11300000-9470000</f>
        <v>1830000</v>
      </c>
      <c r="T34" s="2490" t="s">
        <v>61</v>
      </c>
      <c r="U34" s="2485" t="s">
        <v>357</v>
      </c>
      <c r="V34" s="3997"/>
      <c r="W34" s="3997"/>
      <c r="X34" s="4000"/>
      <c r="Y34" s="4000"/>
      <c r="Z34" s="4000"/>
      <c r="AA34" s="4000"/>
      <c r="AB34" s="4000"/>
      <c r="AC34" s="4000"/>
      <c r="AD34" s="4000"/>
      <c r="AE34" s="4000"/>
      <c r="AF34" s="4000"/>
      <c r="AG34" s="4000"/>
      <c r="AH34" s="4000"/>
      <c r="AI34" s="4000"/>
      <c r="AJ34" s="4000"/>
      <c r="AK34" s="4000"/>
      <c r="AL34" s="4013"/>
      <c r="AM34" s="4013"/>
      <c r="AN34" s="2622"/>
      <c r="AT34" s="884"/>
      <c r="AU34" s="884"/>
      <c r="AV34" s="884"/>
      <c r="AW34" s="884"/>
      <c r="AX34" s="884"/>
      <c r="AY34" s="884"/>
      <c r="AZ34" s="884"/>
      <c r="BA34" s="884"/>
      <c r="BB34" s="884"/>
      <c r="BC34" s="884"/>
      <c r="BD34" s="884"/>
      <c r="BE34" s="884"/>
      <c r="BF34" s="884"/>
      <c r="BG34" s="884"/>
      <c r="BH34" s="884"/>
      <c r="BI34" s="884"/>
      <c r="BJ34" s="884"/>
      <c r="BK34" s="884"/>
      <c r="BL34" s="884"/>
      <c r="BM34" s="884"/>
      <c r="BN34" s="884"/>
      <c r="BO34" s="884"/>
      <c r="BP34" s="884"/>
      <c r="BQ34" s="884"/>
      <c r="BR34" s="884"/>
      <c r="BS34" s="884"/>
      <c r="BT34" s="884"/>
      <c r="BU34" s="884"/>
      <c r="BV34" s="884"/>
      <c r="BW34" s="884"/>
      <c r="BX34" s="884"/>
      <c r="BY34" s="884"/>
      <c r="BZ34" s="884"/>
      <c r="CA34" s="884"/>
      <c r="CB34" s="884"/>
      <c r="CC34" s="884"/>
      <c r="CD34" s="884"/>
      <c r="CE34" s="884"/>
      <c r="CF34" s="884"/>
      <c r="CG34" s="884"/>
      <c r="CH34" s="884"/>
      <c r="CI34" s="884"/>
      <c r="CJ34" s="884"/>
      <c r="CK34" s="884"/>
      <c r="CL34" s="884"/>
      <c r="CM34" s="884"/>
      <c r="CN34" s="884"/>
      <c r="CO34" s="884"/>
      <c r="CP34" s="884"/>
      <c r="CQ34" s="884"/>
      <c r="CR34" s="884"/>
      <c r="CS34" s="884"/>
      <c r="CT34" s="884"/>
      <c r="CU34" s="884"/>
      <c r="CV34" s="884"/>
      <c r="CW34" s="884"/>
      <c r="CX34" s="884"/>
      <c r="CY34" s="884"/>
      <c r="CZ34" s="884"/>
      <c r="DA34" s="884"/>
      <c r="DB34" s="884"/>
      <c r="DC34" s="884"/>
      <c r="DD34" s="884"/>
      <c r="DE34" s="884"/>
      <c r="DF34" s="884"/>
      <c r="DG34" s="884"/>
      <c r="DH34" s="884"/>
      <c r="DI34" s="884"/>
      <c r="DJ34" s="884"/>
      <c r="DK34" s="884"/>
      <c r="DL34" s="884"/>
      <c r="DM34" s="884"/>
      <c r="DN34" s="884"/>
      <c r="DO34" s="884"/>
      <c r="DP34" s="884"/>
      <c r="DQ34" s="884"/>
      <c r="DR34" s="884"/>
      <c r="DS34" s="884"/>
      <c r="DT34" s="884"/>
      <c r="DU34" s="884"/>
      <c r="DV34" s="884"/>
      <c r="DW34" s="884"/>
      <c r="DX34" s="884"/>
      <c r="DY34" s="884"/>
      <c r="DZ34" s="884"/>
      <c r="EA34" s="884"/>
      <c r="EB34" s="884"/>
      <c r="EC34" s="884"/>
      <c r="ED34" s="884"/>
      <c r="EE34" s="884"/>
      <c r="EF34" s="884"/>
      <c r="EG34" s="884"/>
      <c r="EH34" s="884"/>
      <c r="EI34" s="884"/>
      <c r="EJ34" s="884"/>
      <c r="EK34" s="884"/>
      <c r="EL34" s="884"/>
      <c r="EM34" s="884"/>
      <c r="EN34" s="884"/>
      <c r="EO34" s="884"/>
      <c r="EP34" s="884"/>
      <c r="EQ34" s="884"/>
      <c r="ER34" s="884"/>
      <c r="ES34" s="884"/>
      <c r="ET34" s="884"/>
      <c r="EU34" s="884"/>
      <c r="EV34" s="884"/>
      <c r="EW34" s="884"/>
      <c r="EX34" s="884"/>
      <c r="EY34" s="884"/>
      <c r="EZ34" s="884"/>
      <c r="FA34" s="884"/>
      <c r="FB34" s="884"/>
      <c r="FC34" s="884"/>
      <c r="FD34" s="884"/>
      <c r="FE34" s="884"/>
      <c r="FF34" s="884"/>
      <c r="FG34" s="884"/>
      <c r="FH34" s="884"/>
      <c r="FI34" s="884"/>
      <c r="FJ34" s="884"/>
      <c r="FK34" s="884"/>
      <c r="FL34" s="884"/>
      <c r="FM34" s="884"/>
      <c r="FN34" s="884"/>
      <c r="FO34" s="884"/>
      <c r="FP34" s="884"/>
      <c r="FQ34" s="884"/>
      <c r="FR34" s="884"/>
      <c r="FS34" s="884"/>
      <c r="FT34" s="884"/>
      <c r="FU34" s="884"/>
      <c r="FV34" s="884"/>
      <c r="FW34" s="884"/>
      <c r="FX34" s="884"/>
      <c r="FY34" s="884"/>
      <c r="FZ34" s="884"/>
      <c r="GA34" s="884"/>
      <c r="GB34" s="884"/>
      <c r="GC34" s="884"/>
      <c r="GD34" s="884"/>
      <c r="GE34" s="884"/>
      <c r="GF34" s="884"/>
      <c r="GG34" s="884"/>
      <c r="GH34" s="884"/>
      <c r="GI34" s="884"/>
      <c r="GJ34" s="884"/>
      <c r="GK34" s="884"/>
      <c r="GL34" s="884"/>
      <c r="GM34" s="884"/>
      <c r="GN34" s="884"/>
      <c r="GO34" s="884"/>
      <c r="GP34" s="884"/>
      <c r="GQ34" s="884"/>
      <c r="GR34" s="884"/>
      <c r="GS34" s="884"/>
      <c r="GT34" s="884"/>
      <c r="GU34" s="884"/>
      <c r="GV34" s="884"/>
      <c r="GW34" s="884"/>
      <c r="GX34" s="884"/>
      <c r="GY34" s="884"/>
      <c r="GZ34" s="884"/>
      <c r="HA34" s="884"/>
      <c r="HB34" s="884"/>
      <c r="HC34" s="884"/>
      <c r="HD34" s="884"/>
      <c r="HE34" s="884"/>
      <c r="HF34" s="884"/>
      <c r="HG34" s="884"/>
      <c r="HH34" s="884"/>
      <c r="HI34" s="884"/>
      <c r="HJ34" s="884"/>
      <c r="HK34" s="884"/>
      <c r="HL34" s="884"/>
      <c r="HM34" s="884"/>
      <c r="HN34" s="884"/>
      <c r="HO34" s="884"/>
      <c r="HP34" s="884"/>
      <c r="HQ34" s="884"/>
      <c r="HR34" s="884"/>
      <c r="HS34" s="884"/>
      <c r="HT34" s="884"/>
      <c r="HU34" s="884"/>
      <c r="HV34" s="884"/>
      <c r="HW34" s="884"/>
      <c r="HX34" s="884"/>
      <c r="HY34" s="884"/>
      <c r="HZ34" s="884"/>
      <c r="IA34" s="884"/>
      <c r="IB34" s="884"/>
      <c r="IC34" s="884"/>
      <c r="ID34" s="884"/>
      <c r="IE34" s="884"/>
      <c r="IF34" s="884"/>
      <c r="IG34" s="884"/>
      <c r="IH34" s="884"/>
      <c r="II34" s="884"/>
      <c r="IJ34" s="884"/>
      <c r="IK34" s="884"/>
      <c r="IL34" s="884"/>
      <c r="IM34" s="884"/>
      <c r="IN34" s="884"/>
      <c r="IO34" s="884"/>
      <c r="IP34" s="884"/>
      <c r="IQ34" s="884"/>
      <c r="IR34" s="884"/>
      <c r="IS34" s="884"/>
      <c r="IT34" s="884"/>
      <c r="IU34" s="884"/>
      <c r="IV34" s="884"/>
    </row>
    <row r="35" spans="1:256" s="883" customFormat="1" ht="42.75" x14ac:dyDescent="0.2">
      <c r="A35" s="902"/>
      <c r="B35" s="903"/>
      <c r="C35" s="4019"/>
      <c r="D35" s="4020"/>
      <c r="E35" s="931"/>
      <c r="F35" s="938"/>
      <c r="G35" s="4037"/>
      <c r="H35" s="4039"/>
      <c r="I35" s="3983"/>
      <c r="J35" s="4041"/>
      <c r="K35" s="940"/>
      <c r="L35" s="4003"/>
      <c r="M35" s="4043"/>
      <c r="N35" s="4006"/>
      <c r="O35" s="4009"/>
      <c r="P35" s="4045"/>
      <c r="Q35" s="2623"/>
      <c r="R35" s="911" t="s">
        <v>792</v>
      </c>
      <c r="S35" s="934">
        <v>0</v>
      </c>
      <c r="T35" s="2490"/>
      <c r="U35" s="2485"/>
      <c r="V35" s="3997"/>
      <c r="W35" s="3997"/>
      <c r="X35" s="4000"/>
      <c r="Y35" s="4000"/>
      <c r="Z35" s="4000"/>
      <c r="AA35" s="4000"/>
      <c r="AB35" s="4000"/>
      <c r="AC35" s="4000"/>
      <c r="AD35" s="4000"/>
      <c r="AE35" s="4000"/>
      <c r="AF35" s="4000"/>
      <c r="AG35" s="4000"/>
      <c r="AH35" s="4000"/>
      <c r="AI35" s="4000"/>
      <c r="AJ35" s="4000"/>
      <c r="AK35" s="4000"/>
      <c r="AL35" s="4013"/>
      <c r="AM35" s="4013"/>
      <c r="AN35" s="2622"/>
      <c r="AT35" s="884"/>
      <c r="AU35" s="884"/>
      <c r="AV35" s="884"/>
      <c r="AW35" s="884"/>
      <c r="AX35" s="884"/>
      <c r="AY35" s="884"/>
      <c r="AZ35" s="884"/>
      <c r="BA35" s="884"/>
      <c r="BB35" s="884"/>
      <c r="BC35" s="884"/>
      <c r="BD35" s="884"/>
      <c r="BE35" s="884"/>
      <c r="BF35" s="884"/>
      <c r="BG35" s="884"/>
      <c r="BH35" s="884"/>
      <c r="BI35" s="884"/>
      <c r="BJ35" s="884"/>
      <c r="BK35" s="884"/>
      <c r="BL35" s="884"/>
      <c r="BM35" s="884"/>
      <c r="BN35" s="884"/>
      <c r="BO35" s="884"/>
      <c r="BP35" s="884"/>
      <c r="BQ35" s="884"/>
      <c r="BR35" s="884"/>
      <c r="BS35" s="884"/>
      <c r="BT35" s="884"/>
      <c r="BU35" s="884"/>
      <c r="BV35" s="884"/>
      <c r="BW35" s="884"/>
      <c r="BX35" s="884"/>
      <c r="BY35" s="884"/>
      <c r="BZ35" s="884"/>
      <c r="CA35" s="884"/>
      <c r="CB35" s="884"/>
      <c r="CC35" s="884"/>
      <c r="CD35" s="884"/>
      <c r="CE35" s="884"/>
      <c r="CF35" s="884"/>
      <c r="CG35" s="884"/>
      <c r="CH35" s="884"/>
      <c r="CI35" s="884"/>
      <c r="CJ35" s="884"/>
      <c r="CK35" s="884"/>
      <c r="CL35" s="884"/>
      <c r="CM35" s="884"/>
      <c r="CN35" s="884"/>
      <c r="CO35" s="884"/>
      <c r="CP35" s="884"/>
      <c r="CQ35" s="884"/>
      <c r="CR35" s="884"/>
      <c r="CS35" s="884"/>
      <c r="CT35" s="884"/>
      <c r="CU35" s="884"/>
      <c r="CV35" s="884"/>
      <c r="CW35" s="884"/>
      <c r="CX35" s="884"/>
      <c r="CY35" s="884"/>
      <c r="CZ35" s="884"/>
      <c r="DA35" s="884"/>
      <c r="DB35" s="884"/>
      <c r="DC35" s="884"/>
      <c r="DD35" s="884"/>
      <c r="DE35" s="884"/>
      <c r="DF35" s="884"/>
      <c r="DG35" s="884"/>
      <c r="DH35" s="884"/>
      <c r="DI35" s="884"/>
      <c r="DJ35" s="884"/>
      <c r="DK35" s="884"/>
      <c r="DL35" s="884"/>
      <c r="DM35" s="884"/>
      <c r="DN35" s="884"/>
      <c r="DO35" s="884"/>
      <c r="DP35" s="884"/>
      <c r="DQ35" s="884"/>
      <c r="DR35" s="884"/>
      <c r="DS35" s="884"/>
      <c r="DT35" s="884"/>
      <c r="DU35" s="884"/>
      <c r="DV35" s="884"/>
      <c r="DW35" s="884"/>
      <c r="DX35" s="884"/>
      <c r="DY35" s="884"/>
      <c r="DZ35" s="884"/>
      <c r="EA35" s="884"/>
      <c r="EB35" s="884"/>
      <c r="EC35" s="884"/>
      <c r="ED35" s="884"/>
      <c r="EE35" s="884"/>
      <c r="EF35" s="884"/>
      <c r="EG35" s="884"/>
      <c r="EH35" s="884"/>
      <c r="EI35" s="884"/>
      <c r="EJ35" s="884"/>
      <c r="EK35" s="884"/>
      <c r="EL35" s="884"/>
      <c r="EM35" s="884"/>
      <c r="EN35" s="884"/>
      <c r="EO35" s="884"/>
      <c r="EP35" s="884"/>
      <c r="EQ35" s="884"/>
      <c r="ER35" s="884"/>
      <c r="ES35" s="884"/>
      <c r="ET35" s="884"/>
      <c r="EU35" s="884"/>
      <c r="EV35" s="884"/>
      <c r="EW35" s="884"/>
      <c r="EX35" s="884"/>
      <c r="EY35" s="884"/>
      <c r="EZ35" s="884"/>
      <c r="FA35" s="884"/>
      <c r="FB35" s="884"/>
      <c r="FC35" s="884"/>
      <c r="FD35" s="884"/>
      <c r="FE35" s="884"/>
      <c r="FF35" s="884"/>
      <c r="FG35" s="884"/>
      <c r="FH35" s="884"/>
      <c r="FI35" s="884"/>
      <c r="FJ35" s="884"/>
      <c r="FK35" s="884"/>
      <c r="FL35" s="884"/>
      <c r="FM35" s="884"/>
      <c r="FN35" s="884"/>
      <c r="FO35" s="884"/>
      <c r="FP35" s="884"/>
      <c r="FQ35" s="884"/>
      <c r="FR35" s="884"/>
      <c r="FS35" s="884"/>
      <c r="FT35" s="884"/>
      <c r="FU35" s="884"/>
      <c r="FV35" s="884"/>
      <c r="FW35" s="884"/>
      <c r="FX35" s="884"/>
      <c r="FY35" s="884"/>
      <c r="FZ35" s="884"/>
      <c r="GA35" s="884"/>
      <c r="GB35" s="884"/>
      <c r="GC35" s="884"/>
      <c r="GD35" s="884"/>
      <c r="GE35" s="884"/>
      <c r="GF35" s="884"/>
      <c r="GG35" s="884"/>
      <c r="GH35" s="884"/>
      <c r="GI35" s="884"/>
      <c r="GJ35" s="884"/>
      <c r="GK35" s="884"/>
      <c r="GL35" s="884"/>
      <c r="GM35" s="884"/>
      <c r="GN35" s="884"/>
      <c r="GO35" s="884"/>
      <c r="GP35" s="884"/>
      <c r="GQ35" s="884"/>
      <c r="GR35" s="884"/>
      <c r="GS35" s="884"/>
      <c r="GT35" s="884"/>
      <c r="GU35" s="884"/>
      <c r="GV35" s="884"/>
      <c r="GW35" s="884"/>
      <c r="GX35" s="884"/>
      <c r="GY35" s="884"/>
      <c r="GZ35" s="884"/>
      <c r="HA35" s="884"/>
      <c r="HB35" s="884"/>
      <c r="HC35" s="884"/>
      <c r="HD35" s="884"/>
      <c r="HE35" s="884"/>
      <c r="HF35" s="884"/>
      <c r="HG35" s="884"/>
      <c r="HH35" s="884"/>
      <c r="HI35" s="884"/>
      <c r="HJ35" s="884"/>
      <c r="HK35" s="884"/>
      <c r="HL35" s="884"/>
      <c r="HM35" s="884"/>
      <c r="HN35" s="884"/>
      <c r="HO35" s="884"/>
      <c r="HP35" s="884"/>
      <c r="HQ35" s="884"/>
      <c r="HR35" s="884"/>
      <c r="HS35" s="884"/>
      <c r="HT35" s="884"/>
      <c r="HU35" s="884"/>
      <c r="HV35" s="884"/>
      <c r="HW35" s="884"/>
      <c r="HX35" s="884"/>
      <c r="HY35" s="884"/>
      <c r="HZ35" s="884"/>
      <c r="IA35" s="884"/>
      <c r="IB35" s="884"/>
      <c r="IC35" s="884"/>
      <c r="ID35" s="884"/>
      <c r="IE35" s="884"/>
      <c r="IF35" s="884"/>
      <c r="IG35" s="884"/>
      <c r="IH35" s="884"/>
      <c r="II35" s="884"/>
      <c r="IJ35" s="884"/>
      <c r="IK35" s="884"/>
      <c r="IL35" s="884"/>
      <c r="IM35" s="884"/>
      <c r="IN35" s="884"/>
      <c r="IO35" s="884"/>
      <c r="IP35" s="884"/>
      <c r="IQ35" s="884"/>
      <c r="IR35" s="884"/>
      <c r="IS35" s="884"/>
      <c r="IT35" s="884"/>
      <c r="IU35" s="884"/>
      <c r="IV35" s="884"/>
    </row>
    <row r="36" spans="1:256" s="883" customFormat="1" ht="30" customHeight="1" x14ac:dyDescent="0.2">
      <c r="A36" s="902"/>
      <c r="B36" s="903"/>
      <c r="C36" s="4019"/>
      <c r="D36" s="4020"/>
      <c r="E36" s="931"/>
      <c r="F36" s="938"/>
      <c r="G36" s="4037"/>
      <c r="H36" s="4039"/>
      <c r="I36" s="3983"/>
      <c r="J36" s="4041"/>
      <c r="K36" s="940" t="s">
        <v>793</v>
      </c>
      <c r="L36" s="4003"/>
      <c r="M36" s="4043"/>
      <c r="N36" s="4006"/>
      <c r="O36" s="4009"/>
      <c r="P36" s="4045"/>
      <c r="Q36" s="2623"/>
      <c r="R36" s="911" t="s">
        <v>794</v>
      </c>
      <c r="S36" s="934">
        <f>4000000+11000000</f>
        <v>15000000</v>
      </c>
      <c r="T36" s="2490" t="s">
        <v>61</v>
      </c>
      <c r="U36" s="2485" t="s">
        <v>357</v>
      </c>
      <c r="V36" s="3997"/>
      <c r="W36" s="3997"/>
      <c r="X36" s="4000"/>
      <c r="Y36" s="4000"/>
      <c r="Z36" s="4000"/>
      <c r="AA36" s="4000"/>
      <c r="AB36" s="4000"/>
      <c r="AC36" s="4000"/>
      <c r="AD36" s="4000"/>
      <c r="AE36" s="4000"/>
      <c r="AF36" s="4000"/>
      <c r="AG36" s="4000"/>
      <c r="AH36" s="4000"/>
      <c r="AI36" s="4000"/>
      <c r="AJ36" s="4000"/>
      <c r="AK36" s="4000"/>
      <c r="AL36" s="4013"/>
      <c r="AM36" s="4013"/>
      <c r="AN36" s="2622"/>
      <c r="AT36" s="884"/>
      <c r="AU36" s="884"/>
      <c r="AV36" s="884"/>
      <c r="AW36" s="884"/>
      <c r="AX36" s="884"/>
      <c r="AY36" s="884"/>
      <c r="AZ36" s="884"/>
      <c r="BA36" s="884"/>
      <c r="BB36" s="884"/>
      <c r="BC36" s="884"/>
      <c r="BD36" s="884"/>
      <c r="BE36" s="884"/>
      <c r="BF36" s="884"/>
      <c r="BG36" s="884"/>
      <c r="BH36" s="884"/>
      <c r="BI36" s="884"/>
      <c r="BJ36" s="884"/>
      <c r="BK36" s="884"/>
      <c r="BL36" s="884"/>
      <c r="BM36" s="884"/>
      <c r="BN36" s="884"/>
      <c r="BO36" s="884"/>
      <c r="BP36" s="884"/>
      <c r="BQ36" s="884"/>
      <c r="BR36" s="884"/>
      <c r="BS36" s="884"/>
      <c r="BT36" s="884"/>
      <c r="BU36" s="884"/>
      <c r="BV36" s="884"/>
      <c r="BW36" s="884"/>
      <c r="BX36" s="884"/>
      <c r="BY36" s="884"/>
      <c r="BZ36" s="884"/>
      <c r="CA36" s="884"/>
      <c r="CB36" s="884"/>
      <c r="CC36" s="884"/>
      <c r="CD36" s="884"/>
      <c r="CE36" s="884"/>
      <c r="CF36" s="884"/>
      <c r="CG36" s="884"/>
      <c r="CH36" s="884"/>
      <c r="CI36" s="884"/>
      <c r="CJ36" s="884"/>
      <c r="CK36" s="884"/>
      <c r="CL36" s="884"/>
      <c r="CM36" s="884"/>
      <c r="CN36" s="884"/>
      <c r="CO36" s="884"/>
      <c r="CP36" s="884"/>
      <c r="CQ36" s="884"/>
      <c r="CR36" s="884"/>
      <c r="CS36" s="884"/>
      <c r="CT36" s="884"/>
      <c r="CU36" s="884"/>
      <c r="CV36" s="884"/>
      <c r="CW36" s="884"/>
      <c r="CX36" s="884"/>
      <c r="CY36" s="884"/>
      <c r="CZ36" s="884"/>
      <c r="DA36" s="884"/>
      <c r="DB36" s="884"/>
      <c r="DC36" s="884"/>
      <c r="DD36" s="884"/>
      <c r="DE36" s="884"/>
      <c r="DF36" s="884"/>
      <c r="DG36" s="884"/>
      <c r="DH36" s="884"/>
      <c r="DI36" s="884"/>
      <c r="DJ36" s="884"/>
      <c r="DK36" s="884"/>
      <c r="DL36" s="884"/>
      <c r="DM36" s="884"/>
      <c r="DN36" s="884"/>
      <c r="DO36" s="884"/>
      <c r="DP36" s="884"/>
      <c r="DQ36" s="884"/>
      <c r="DR36" s="884"/>
      <c r="DS36" s="884"/>
      <c r="DT36" s="884"/>
      <c r="DU36" s="884"/>
      <c r="DV36" s="884"/>
      <c r="DW36" s="884"/>
      <c r="DX36" s="884"/>
      <c r="DY36" s="884"/>
      <c r="DZ36" s="884"/>
      <c r="EA36" s="884"/>
      <c r="EB36" s="884"/>
      <c r="EC36" s="884"/>
      <c r="ED36" s="884"/>
      <c r="EE36" s="884"/>
      <c r="EF36" s="884"/>
      <c r="EG36" s="884"/>
      <c r="EH36" s="884"/>
      <c r="EI36" s="884"/>
      <c r="EJ36" s="884"/>
      <c r="EK36" s="884"/>
      <c r="EL36" s="884"/>
      <c r="EM36" s="884"/>
      <c r="EN36" s="884"/>
      <c r="EO36" s="884"/>
      <c r="EP36" s="884"/>
      <c r="EQ36" s="884"/>
      <c r="ER36" s="884"/>
      <c r="ES36" s="884"/>
      <c r="ET36" s="884"/>
      <c r="EU36" s="884"/>
      <c r="EV36" s="884"/>
      <c r="EW36" s="884"/>
      <c r="EX36" s="884"/>
      <c r="EY36" s="884"/>
      <c r="EZ36" s="884"/>
      <c r="FA36" s="884"/>
      <c r="FB36" s="884"/>
      <c r="FC36" s="884"/>
      <c r="FD36" s="884"/>
      <c r="FE36" s="884"/>
      <c r="FF36" s="884"/>
      <c r="FG36" s="884"/>
      <c r="FH36" s="884"/>
      <c r="FI36" s="884"/>
      <c r="FJ36" s="884"/>
      <c r="FK36" s="884"/>
      <c r="FL36" s="884"/>
      <c r="FM36" s="884"/>
      <c r="FN36" s="884"/>
      <c r="FO36" s="884"/>
      <c r="FP36" s="884"/>
      <c r="FQ36" s="884"/>
      <c r="FR36" s="884"/>
      <c r="FS36" s="884"/>
      <c r="FT36" s="884"/>
      <c r="FU36" s="884"/>
      <c r="FV36" s="884"/>
      <c r="FW36" s="884"/>
      <c r="FX36" s="884"/>
      <c r="FY36" s="884"/>
      <c r="FZ36" s="884"/>
      <c r="GA36" s="884"/>
      <c r="GB36" s="884"/>
      <c r="GC36" s="884"/>
      <c r="GD36" s="884"/>
      <c r="GE36" s="884"/>
      <c r="GF36" s="884"/>
      <c r="GG36" s="884"/>
      <c r="GH36" s="884"/>
      <c r="GI36" s="884"/>
      <c r="GJ36" s="884"/>
      <c r="GK36" s="884"/>
      <c r="GL36" s="884"/>
      <c r="GM36" s="884"/>
      <c r="GN36" s="884"/>
      <c r="GO36" s="884"/>
      <c r="GP36" s="884"/>
      <c r="GQ36" s="884"/>
      <c r="GR36" s="884"/>
      <c r="GS36" s="884"/>
      <c r="GT36" s="884"/>
      <c r="GU36" s="884"/>
      <c r="GV36" s="884"/>
      <c r="GW36" s="884"/>
      <c r="GX36" s="884"/>
      <c r="GY36" s="884"/>
      <c r="GZ36" s="884"/>
      <c r="HA36" s="884"/>
      <c r="HB36" s="884"/>
      <c r="HC36" s="884"/>
      <c r="HD36" s="884"/>
      <c r="HE36" s="884"/>
      <c r="HF36" s="884"/>
      <c r="HG36" s="884"/>
      <c r="HH36" s="884"/>
      <c r="HI36" s="884"/>
      <c r="HJ36" s="884"/>
      <c r="HK36" s="884"/>
      <c r="HL36" s="884"/>
      <c r="HM36" s="884"/>
      <c r="HN36" s="884"/>
      <c r="HO36" s="884"/>
      <c r="HP36" s="884"/>
      <c r="HQ36" s="884"/>
      <c r="HR36" s="884"/>
      <c r="HS36" s="884"/>
      <c r="HT36" s="884"/>
      <c r="HU36" s="884"/>
      <c r="HV36" s="884"/>
      <c r="HW36" s="884"/>
      <c r="HX36" s="884"/>
      <c r="HY36" s="884"/>
      <c r="HZ36" s="884"/>
      <c r="IA36" s="884"/>
      <c r="IB36" s="884"/>
      <c r="IC36" s="884"/>
      <c r="ID36" s="884"/>
      <c r="IE36" s="884"/>
      <c r="IF36" s="884"/>
      <c r="IG36" s="884"/>
      <c r="IH36" s="884"/>
      <c r="II36" s="884"/>
      <c r="IJ36" s="884"/>
      <c r="IK36" s="884"/>
      <c r="IL36" s="884"/>
      <c r="IM36" s="884"/>
      <c r="IN36" s="884"/>
      <c r="IO36" s="884"/>
      <c r="IP36" s="884"/>
      <c r="IQ36" s="884"/>
      <c r="IR36" s="884"/>
      <c r="IS36" s="884"/>
      <c r="IT36" s="884"/>
      <c r="IU36" s="884"/>
      <c r="IV36" s="884"/>
    </row>
    <row r="37" spans="1:256" s="883" customFormat="1" ht="30" x14ac:dyDescent="0.2">
      <c r="A37" s="902"/>
      <c r="B37" s="903"/>
      <c r="C37" s="4019"/>
      <c r="D37" s="4020"/>
      <c r="E37" s="931"/>
      <c r="F37" s="932"/>
      <c r="G37" s="4049">
        <v>185</v>
      </c>
      <c r="H37" s="4051" t="s">
        <v>795</v>
      </c>
      <c r="I37" s="3982" t="s">
        <v>796</v>
      </c>
      <c r="J37" s="4040">
        <v>1</v>
      </c>
      <c r="K37" s="940"/>
      <c r="L37" s="4003"/>
      <c r="M37" s="4043"/>
      <c r="N37" s="4005">
        <f>SUM(S37:S39)/O30</f>
        <v>0.23612750885478159</v>
      </c>
      <c r="O37" s="4009"/>
      <c r="P37" s="4046"/>
      <c r="Q37" s="2680" t="s">
        <v>797</v>
      </c>
      <c r="R37" s="911" t="s">
        <v>798</v>
      </c>
      <c r="S37" s="941">
        <v>19000000</v>
      </c>
      <c r="T37" s="2490" t="s">
        <v>61</v>
      </c>
      <c r="U37" s="2485" t="s">
        <v>357</v>
      </c>
      <c r="V37" s="3997"/>
      <c r="W37" s="3997"/>
      <c r="X37" s="4000"/>
      <c r="Y37" s="4000"/>
      <c r="Z37" s="4000"/>
      <c r="AA37" s="4000"/>
      <c r="AB37" s="4000"/>
      <c r="AC37" s="4000"/>
      <c r="AD37" s="4000"/>
      <c r="AE37" s="4000"/>
      <c r="AF37" s="4000"/>
      <c r="AG37" s="4000"/>
      <c r="AH37" s="4000"/>
      <c r="AI37" s="4000"/>
      <c r="AJ37" s="4000"/>
      <c r="AK37" s="4000"/>
      <c r="AL37" s="4013"/>
      <c r="AM37" s="4013"/>
      <c r="AN37" s="2622"/>
      <c r="AT37" s="884"/>
      <c r="AU37" s="884"/>
      <c r="AV37" s="884"/>
      <c r="AW37" s="884"/>
      <c r="AX37" s="884"/>
      <c r="AY37" s="884"/>
      <c r="AZ37" s="884"/>
      <c r="BA37" s="884"/>
      <c r="BB37" s="884"/>
      <c r="BC37" s="884"/>
      <c r="BD37" s="884"/>
      <c r="BE37" s="884"/>
      <c r="BF37" s="884"/>
      <c r="BG37" s="884"/>
      <c r="BH37" s="884"/>
      <c r="BI37" s="884"/>
      <c r="BJ37" s="884"/>
      <c r="BK37" s="884"/>
      <c r="BL37" s="884"/>
      <c r="BM37" s="884"/>
      <c r="BN37" s="884"/>
      <c r="BO37" s="884"/>
      <c r="BP37" s="884"/>
      <c r="BQ37" s="884"/>
      <c r="BR37" s="884"/>
      <c r="BS37" s="884"/>
      <c r="BT37" s="884"/>
      <c r="BU37" s="884"/>
      <c r="BV37" s="884"/>
      <c r="BW37" s="884"/>
      <c r="BX37" s="884"/>
      <c r="BY37" s="884"/>
      <c r="BZ37" s="884"/>
      <c r="CA37" s="884"/>
      <c r="CB37" s="884"/>
      <c r="CC37" s="884"/>
      <c r="CD37" s="884"/>
      <c r="CE37" s="884"/>
      <c r="CF37" s="884"/>
      <c r="CG37" s="884"/>
      <c r="CH37" s="884"/>
      <c r="CI37" s="884"/>
      <c r="CJ37" s="884"/>
      <c r="CK37" s="884"/>
      <c r="CL37" s="884"/>
      <c r="CM37" s="884"/>
      <c r="CN37" s="884"/>
      <c r="CO37" s="884"/>
      <c r="CP37" s="884"/>
      <c r="CQ37" s="884"/>
      <c r="CR37" s="884"/>
      <c r="CS37" s="884"/>
      <c r="CT37" s="884"/>
      <c r="CU37" s="884"/>
      <c r="CV37" s="884"/>
      <c r="CW37" s="884"/>
      <c r="CX37" s="884"/>
      <c r="CY37" s="884"/>
      <c r="CZ37" s="884"/>
      <c r="DA37" s="884"/>
      <c r="DB37" s="884"/>
      <c r="DC37" s="884"/>
      <c r="DD37" s="884"/>
      <c r="DE37" s="884"/>
      <c r="DF37" s="884"/>
      <c r="DG37" s="884"/>
      <c r="DH37" s="884"/>
      <c r="DI37" s="884"/>
      <c r="DJ37" s="884"/>
      <c r="DK37" s="884"/>
      <c r="DL37" s="884"/>
      <c r="DM37" s="884"/>
      <c r="DN37" s="884"/>
      <c r="DO37" s="884"/>
      <c r="DP37" s="884"/>
      <c r="DQ37" s="884"/>
      <c r="DR37" s="884"/>
      <c r="DS37" s="884"/>
      <c r="DT37" s="884"/>
      <c r="DU37" s="884"/>
      <c r="DV37" s="884"/>
      <c r="DW37" s="884"/>
      <c r="DX37" s="884"/>
      <c r="DY37" s="884"/>
      <c r="DZ37" s="884"/>
      <c r="EA37" s="884"/>
      <c r="EB37" s="884"/>
      <c r="EC37" s="884"/>
      <c r="ED37" s="884"/>
      <c r="EE37" s="884"/>
      <c r="EF37" s="884"/>
      <c r="EG37" s="884"/>
      <c r="EH37" s="884"/>
      <c r="EI37" s="884"/>
      <c r="EJ37" s="884"/>
      <c r="EK37" s="884"/>
      <c r="EL37" s="884"/>
      <c r="EM37" s="884"/>
      <c r="EN37" s="884"/>
      <c r="EO37" s="884"/>
      <c r="EP37" s="884"/>
      <c r="EQ37" s="884"/>
      <c r="ER37" s="884"/>
      <c r="ES37" s="884"/>
      <c r="ET37" s="884"/>
      <c r="EU37" s="884"/>
      <c r="EV37" s="884"/>
      <c r="EW37" s="884"/>
      <c r="EX37" s="884"/>
      <c r="EY37" s="884"/>
      <c r="EZ37" s="884"/>
      <c r="FA37" s="884"/>
      <c r="FB37" s="884"/>
      <c r="FC37" s="884"/>
      <c r="FD37" s="884"/>
      <c r="FE37" s="884"/>
      <c r="FF37" s="884"/>
      <c r="FG37" s="884"/>
      <c r="FH37" s="884"/>
      <c r="FI37" s="884"/>
      <c r="FJ37" s="884"/>
      <c r="FK37" s="884"/>
      <c r="FL37" s="884"/>
      <c r="FM37" s="884"/>
      <c r="FN37" s="884"/>
      <c r="FO37" s="884"/>
      <c r="FP37" s="884"/>
      <c r="FQ37" s="884"/>
      <c r="FR37" s="884"/>
      <c r="FS37" s="884"/>
      <c r="FT37" s="884"/>
      <c r="FU37" s="884"/>
      <c r="FV37" s="884"/>
      <c r="FW37" s="884"/>
      <c r="FX37" s="884"/>
      <c r="FY37" s="884"/>
      <c r="FZ37" s="884"/>
      <c r="GA37" s="884"/>
      <c r="GB37" s="884"/>
      <c r="GC37" s="884"/>
      <c r="GD37" s="884"/>
      <c r="GE37" s="884"/>
      <c r="GF37" s="884"/>
      <c r="GG37" s="884"/>
      <c r="GH37" s="884"/>
      <c r="GI37" s="884"/>
      <c r="GJ37" s="884"/>
      <c r="GK37" s="884"/>
      <c r="GL37" s="884"/>
      <c r="GM37" s="884"/>
      <c r="GN37" s="884"/>
      <c r="GO37" s="884"/>
      <c r="GP37" s="884"/>
      <c r="GQ37" s="884"/>
      <c r="GR37" s="884"/>
      <c r="GS37" s="884"/>
      <c r="GT37" s="884"/>
      <c r="GU37" s="884"/>
      <c r="GV37" s="884"/>
      <c r="GW37" s="884"/>
      <c r="GX37" s="884"/>
      <c r="GY37" s="884"/>
      <c r="GZ37" s="884"/>
      <c r="HA37" s="884"/>
      <c r="HB37" s="884"/>
      <c r="HC37" s="884"/>
      <c r="HD37" s="884"/>
      <c r="HE37" s="884"/>
      <c r="HF37" s="884"/>
      <c r="HG37" s="884"/>
      <c r="HH37" s="884"/>
      <c r="HI37" s="884"/>
      <c r="HJ37" s="884"/>
      <c r="HK37" s="884"/>
      <c r="HL37" s="884"/>
      <c r="HM37" s="884"/>
      <c r="HN37" s="884"/>
      <c r="HO37" s="884"/>
      <c r="HP37" s="884"/>
      <c r="HQ37" s="884"/>
      <c r="HR37" s="884"/>
      <c r="HS37" s="884"/>
      <c r="HT37" s="884"/>
      <c r="HU37" s="884"/>
      <c r="HV37" s="884"/>
      <c r="HW37" s="884"/>
      <c r="HX37" s="884"/>
      <c r="HY37" s="884"/>
      <c r="HZ37" s="884"/>
      <c r="IA37" s="884"/>
      <c r="IB37" s="884"/>
      <c r="IC37" s="884"/>
      <c r="ID37" s="884"/>
      <c r="IE37" s="884"/>
      <c r="IF37" s="884"/>
      <c r="IG37" s="884"/>
      <c r="IH37" s="884"/>
      <c r="II37" s="884"/>
      <c r="IJ37" s="884"/>
      <c r="IK37" s="884"/>
      <c r="IL37" s="884"/>
      <c r="IM37" s="884"/>
      <c r="IN37" s="884"/>
      <c r="IO37" s="884"/>
      <c r="IP37" s="884"/>
      <c r="IQ37" s="884"/>
      <c r="IR37" s="884"/>
      <c r="IS37" s="884"/>
      <c r="IT37" s="884"/>
      <c r="IU37" s="884"/>
      <c r="IV37" s="884"/>
    </row>
    <row r="38" spans="1:256" s="883" customFormat="1" ht="30" x14ac:dyDescent="0.2">
      <c r="A38" s="902"/>
      <c r="B38" s="903"/>
      <c r="C38" s="4019"/>
      <c r="D38" s="4020"/>
      <c r="E38" s="931"/>
      <c r="F38" s="932"/>
      <c r="G38" s="4049"/>
      <c r="H38" s="4024"/>
      <c r="I38" s="3983"/>
      <c r="J38" s="4041"/>
      <c r="K38" s="940"/>
      <c r="L38" s="4003"/>
      <c r="M38" s="4043"/>
      <c r="N38" s="4006"/>
      <c r="O38" s="4009"/>
      <c r="P38" s="4046"/>
      <c r="Q38" s="2680"/>
      <c r="R38" s="911" t="s">
        <v>799</v>
      </c>
      <c r="S38" s="941">
        <v>18600000</v>
      </c>
      <c r="T38" s="2490" t="s">
        <v>61</v>
      </c>
      <c r="U38" s="2485" t="s">
        <v>357</v>
      </c>
      <c r="V38" s="3997"/>
      <c r="W38" s="3997"/>
      <c r="X38" s="4000"/>
      <c r="Y38" s="4000"/>
      <c r="Z38" s="4000"/>
      <c r="AA38" s="4000"/>
      <c r="AB38" s="4000"/>
      <c r="AC38" s="4000"/>
      <c r="AD38" s="4000"/>
      <c r="AE38" s="4000"/>
      <c r="AF38" s="4000"/>
      <c r="AG38" s="4000"/>
      <c r="AH38" s="4000"/>
      <c r="AI38" s="4000"/>
      <c r="AJ38" s="4000"/>
      <c r="AK38" s="4000"/>
      <c r="AL38" s="4013"/>
      <c r="AM38" s="4013"/>
      <c r="AN38" s="2622"/>
      <c r="AT38" s="884"/>
      <c r="AU38" s="884"/>
      <c r="AV38" s="884"/>
      <c r="AW38" s="884"/>
      <c r="AX38" s="884"/>
      <c r="AY38" s="884"/>
      <c r="AZ38" s="884"/>
      <c r="BA38" s="884"/>
      <c r="BB38" s="884"/>
      <c r="BC38" s="884"/>
      <c r="BD38" s="884"/>
      <c r="BE38" s="884"/>
      <c r="BF38" s="884"/>
      <c r="BG38" s="884"/>
      <c r="BH38" s="884"/>
      <c r="BI38" s="884"/>
      <c r="BJ38" s="884"/>
      <c r="BK38" s="884"/>
      <c r="BL38" s="884"/>
      <c r="BM38" s="884"/>
      <c r="BN38" s="884"/>
      <c r="BO38" s="884"/>
      <c r="BP38" s="884"/>
      <c r="BQ38" s="884"/>
      <c r="BR38" s="884"/>
      <c r="BS38" s="884"/>
      <c r="BT38" s="884"/>
      <c r="BU38" s="884"/>
      <c r="BV38" s="884"/>
      <c r="BW38" s="884"/>
      <c r="BX38" s="884"/>
      <c r="BY38" s="884"/>
      <c r="BZ38" s="884"/>
      <c r="CA38" s="884"/>
      <c r="CB38" s="884"/>
      <c r="CC38" s="884"/>
      <c r="CD38" s="884"/>
      <c r="CE38" s="884"/>
      <c r="CF38" s="884"/>
      <c r="CG38" s="884"/>
      <c r="CH38" s="884"/>
      <c r="CI38" s="884"/>
      <c r="CJ38" s="884"/>
      <c r="CK38" s="884"/>
      <c r="CL38" s="884"/>
      <c r="CM38" s="884"/>
      <c r="CN38" s="884"/>
      <c r="CO38" s="884"/>
      <c r="CP38" s="884"/>
      <c r="CQ38" s="884"/>
      <c r="CR38" s="884"/>
      <c r="CS38" s="884"/>
      <c r="CT38" s="884"/>
      <c r="CU38" s="884"/>
      <c r="CV38" s="884"/>
      <c r="CW38" s="884"/>
      <c r="CX38" s="884"/>
      <c r="CY38" s="884"/>
      <c r="CZ38" s="884"/>
      <c r="DA38" s="884"/>
      <c r="DB38" s="884"/>
      <c r="DC38" s="884"/>
      <c r="DD38" s="884"/>
      <c r="DE38" s="884"/>
      <c r="DF38" s="884"/>
      <c r="DG38" s="884"/>
      <c r="DH38" s="884"/>
      <c r="DI38" s="884"/>
      <c r="DJ38" s="884"/>
      <c r="DK38" s="884"/>
      <c r="DL38" s="884"/>
      <c r="DM38" s="884"/>
      <c r="DN38" s="884"/>
      <c r="DO38" s="884"/>
      <c r="DP38" s="884"/>
      <c r="DQ38" s="884"/>
      <c r="DR38" s="884"/>
      <c r="DS38" s="884"/>
      <c r="DT38" s="884"/>
      <c r="DU38" s="884"/>
      <c r="DV38" s="884"/>
      <c r="DW38" s="884"/>
      <c r="DX38" s="884"/>
      <c r="DY38" s="884"/>
      <c r="DZ38" s="884"/>
      <c r="EA38" s="884"/>
      <c r="EB38" s="884"/>
      <c r="EC38" s="884"/>
      <c r="ED38" s="884"/>
      <c r="EE38" s="884"/>
      <c r="EF38" s="884"/>
      <c r="EG38" s="884"/>
      <c r="EH38" s="884"/>
      <c r="EI38" s="884"/>
      <c r="EJ38" s="884"/>
      <c r="EK38" s="884"/>
      <c r="EL38" s="884"/>
      <c r="EM38" s="884"/>
      <c r="EN38" s="884"/>
      <c r="EO38" s="884"/>
      <c r="EP38" s="884"/>
      <c r="EQ38" s="884"/>
      <c r="ER38" s="884"/>
      <c r="ES38" s="884"/>
      <c r="ET38" s="884"/>
      <c r="EU38" s="884"/>
      <c r="EV38" s="884"/>
      <c r="EW38" s="884"/>
      <c r="EX38" s="884"/>
      <c r="EY38" s="884"/>
      <c r="EZ38" s="884"/>
      <c r="FA38" s="884"/>
      <c r="FB38" s="884"/>
      <c r="FC38" s="884"/>
      <c r="FD38" s="884"/>
      <c r="FE38" s="884"/>
      <c r="FF38" s="884"/>
      <c r="FG38" s="884"/>
      <c r="FH38" s="884"/>
      <c r="FI38" s="884"/>
      <c r="FJ38" s="884"/>
      <c r="FK38" s="884"/>
      <c r="FL38" s="884"/>
      <c r="FM38" s="884"/>
      <c r="FN38" s="884"/>
      <c r="FO38" s="884"/>
      <c r="FP38" s="884"/>
      <c r="FQ38" s="884"/>
      <c r="FR38" s="884"/>
      <c r="FS38" s="884"/>
      <c r="FT38" s="884"/>
      <c r="FU38" s="884"/>
      <c r="FV38" s="884"/>
      <c r="FW38" s="884"/>
      <c r="FX38" s="884"/>
      <c r="FY38" s="884"/>
      <c r="FZ38" s="884"/>
      <c r="GA38" s="884"/>
      <c r="GB38" s="884"/>
      <c r="GC38" s="884"/>
      <c r="GD38" s="884"/>
      <c r="GE38" s="884"/>
      <c r="GF38" s="884"/>
      <c r="GG38" s="884"/>
      <c r="GH38" s="884"/>
      <c r="GI38" s="884"/>
      <c r="GJ38" s="884"/>
      <c r="GK38" s="884"/>
      <c r="GL38" s="884"/>
      <c r="GM38" s="884"/>
      <c r="GN38" s="884"/>
      <c r="GO38" s="884"/>
      <c r="GP38" s="884"/>
      <c r="GQ38" s="884"/>
      <c r="GR38" s="884"/>
      <c r="GS38" s="884"/>
      <c r="GT38" s="884"/>
      <c r="GU38" s="884"/>
      <c r="GV38" s="884"/>
      <c r="GW38" s="884"/>
      <c r="GX38" s="884"/>
      <c r="GY38" s="884"/>
      <c r="GZ38" s="884"/>
      <c r="HA38" s="884"/>
      <c r="HB38" s="884"/>
      <c r="HC38" s="884"/>
      <c r="HD38" s="884"/>
      <c r="HE38" s="884"/>
      <c r="HF38" s="884"/>
      <c r="HG38" s="884"/>
      <c r="HH38" s="884"/>
      <c r="HI38" s="884"/>
      <c r="HJ38" s="884"/>
      <c r="HK38" s="884"/>
      <c r="HL38" s="884"/>
      <c r="HM38" s="884"/>
      <c r="HN38" s="884"/>
      <c r="HO38" s="884"/>
      <c r="HP38" s="884"/>
      <c r="HQ38" s="884"/>
      <c r="HR38" s="884"/>
      <c r="HS38" s="884"/>
      <c r="HT38" s="884"/>
      <c r="HU38" s="884"/>
      <c r="HV38" s="884"/>
      <c r="HW38" s="884"/>
      <c r="HX38" s="884"/>
      <c r="HY38" s="884"/>
      <c r="HZ38" s="884"/>
      <c r="IA38" s="884"/>
      <c r="IB38" s="884"/>
      <c r="IC38" s="884"/>
      <c r="ID38" s="884"/>
      <c r="IE38" s="884"/>
      <c r="IF38" s="884"/>
      <c r="IG38" s="884"/>
      <c r="IH38" s="884"/>
      <c r="II38" s="884"/>
      <c r="IJ38" s="884"/>
      <c r="IK38" s="884"/>
      <c r="IL38" s="884"/>
      <c r="IM38" s="884"/>
      <c r="IN38" s="884"/>
      <c r="IO38" s="884"/>
      <c r="IP38" s="884"/>
      <c r="IQ38" s="884"/>
      <c r="IR38" s="884"/>
      <c r="IS38" s="884"/>
      <c r="IT38" s="884"/>
      <c r="IU38" s="884"/>
      <c r="IV38" s="884"/>
    </row>
    <row r="39" spans="1:256" s="883" customFormat="1" ht="42.75" x14ac:dyDescent="0.2">
      <c r="A39" s="902"/>
      <c r="B39" s="903"/>
      <c r="C39" s="4019"/>
      <c r="D39" s="4020"/>
      <c r="E39" s="931"/>
      <c r="F39" s="932"/>
      <c r="G39" s="4050"/>
      <c r="H39" s="4052"/>
      <c r="I39" s="3984"/>
      <c r="J39" s="4053"/>
      <c r="K39" s="940"/>
      <c r="L39" s="4003"/>
      <c r="M39" s="4043"/>
      <c r="N39" s="4007"/>
      <c r="O39" s="4009"/>
      <c r="P39" s="4046"/>
      <c r="Q39" s="4048"/>
      <c r="R39" s="911" t="s">
        <v>800</v>
      </c>
      <c r="S39" s="941">
        <v>2400000</v>
      </c>
      <c r="T39" s="2490" t="s">
        <v>61</v>
      </c>
      <c r="U39" s="2485" t="s">
        <v>357</v>
      </c>
      <c r="V39" s="3997"/>
      <c r="W39" s="3997"/>
      <c r="X39" s="4000"/>
      <c r="Y39" s="4000"/>
      <c r="Z39" s="4000"/>
      <c r="AA39" s="4000"/>
      <c r="AB39" s="4000"/>
      <c r="AC39" s="4000"/>
      <c r="AD39" s="4000"/>
      <c r="AE39" s="4000"/>
      <c r="AF39" s="4000"/>
      <c r="AG39" s="4000"/>
      <c r="AH39" s="4000"/>
      <c r="AI39" s="4000"/>
      <c r="AJ39" s="4000"/>
      <c r="AK39" s="4000"/>
      <c r="AL39" s="4013"/>
      <c r="AM39" s="4013"/>
      <c r="AN39" s="2622"/>
      <c r="AT39" s="884"/>
      <c r="AU39" s="884"/>
      <c r="AV39" s="884"/>
      <c r="AW39" s="884"/>
      <c r="AX39" s="884"/>
      <c r="AY39" s="884"/>
      <c r="AZ39" s="884"/>
      <c r="BA39" s="884"/>
      <c r="BB39" s="884"/>
      <c r="BC39" s="884"/>
      <c r="BD39" s="884"/>
      <c r="BE39" s="884"/>
      <c r="BF39" s="884"/>
      <c r="BG39" s="884"/>
      <c r="BH39" s="884"/>
      <c r="BI39" s="884"/>
      <c r="BJ39" s="884"/>
      <c r="BK39" s="884"/>
      <c r="BL39" s="884"/>
      <c r="BM39" s="884"/>
      <c r="BN39" s="884"/>
      <c r="BO39" s="884"/>
      <c r="BP39" s="884"/>
      <c r="BQ39" s="884"/>
      <c r="BR39" s="884"/>
      <c r="BS39" s="884"/>
      <c r="BT39" s="884"/>
      <c r="BU39" s="884"/>
      <c r="BV39" s="884"/>
      <c r="BW39" s="884"/>
      <c r="BX39" s="884"/>
      <c r="BY39" s="884"/>
      <c r="BZ39" s="884"/>
      <c r="CA39" s="884"/>
      <c r="CB39" s="884"/>
      <c r="CC39" s="884"/>
      <c r="CD39" s="884"/>
      <c r="CE39" s="884"/>
      <c r="CF39" s="884"/>
      <c r="CG39" s="884"/>
      <c r="CH39" s="884"/>
      <c r="CI39" s="884"/>
      <c r="CJ39" s="884"/>
      <c r="CK39" s="884"/>
      <c r="CL39" s="884"/>
      <c r="CM39" s="884"/>
      <c r="CN39" s="884"/>
      <c r="CO39" s="884"/>
      <c r="CP39" s="884"/>
      <c r="CQ39" s="884"/>
      <c r="CR39" s="884"/>
      <c r="CS39" s="884"/>
      <c r="CT39" s="884"/>
      <c r="CU39" s="884"/>
      <c r="CV39" s="884"/>
      <c r="CW39" s="884"/>
      <c r="CX39" s="884"/>
      <c r="CY39" s="884"/>
      <c r="CZ39" s="884"/>
      <c r="DA39" s="884"/>
      <c r="DB39" s="884"/>
      <c r="DC39" s="884"/>
      <c r="DD39" s="884"/>
      <c r="DE39" s="884"/>
      <c r="DF39" s="884"/>
      <c r="DG39" s="884"/>
      <c r="DH39" s="884"/>
      <c r="DI39" s="884"/>
      <c r="DJ39" s="884"/>
      <c r="DK39" s="884"/>
      <c r="DL39" s="884"/>
      <c r="DM39" s="884"/>
      <c r="DN39" s="884"/>
      <c r="DO39" s="884"/>
      <c r="DP39" s="884"/>
      <c r="DQ39" s="884"/>
      <c r="DR39" s="884"/>
      <c r="DS39" s="884"/>
      <c r="DT39" s="884"/>
      <c r="DU39" s="884"/>
      <c r="DV39" s="884"/>
      <c r="DW39" s="884"/>
      <c r="DX39" s="884"/>
      <c r="DY39" s="884"/>
      <c r="DZ39" s="884"/>
      <c r="EA39" s="884"/>
      <c r="EB39" s="884"/>
      <c r="EC39" s="884"/>
      <c r="ED39" s="884"/>
      <c r="EE39" s="884"/>
      <c r="EF39" s="884"/>
      <c r="EG39" s="884"/>
      <c r="EH39" s="884"/>
      <c r="EI39" s="884"/>
      <c r="EJ39" s="884"/>
      <c r="EK39" s="884"/>
      <c r="EL39" s="884"/>
      <c r="EM39" s="884"/>
      <c r="EN39" s="884"/>
      <c r="EO39" s="884"/>
      <c r="EP39" s="884"/>
      <c r="EQ39" s="884"/>
      <c r="ER39" s="884"/>
      <c r="ES39" s="884"/>
      <c r="ET39" s="884"/>
      <c r="EU39" s="884"/>
      <c r="EV39" s="884"/>
      <c r="EW39" s="884"/>
      <c r="EX39" s="884"/>
      <c r="EY39" s="884"/>
      <c r="EZ39" s="884"/>
      <c r="FA39" s="884"/>
      <c r="FB39" s="884"/>
      <c r="FC39" s="884"/>
      <c r="FD39" s="884"/>
      <c r="FE39" s="884"/>
      <c r="FF39" s="884"/>
      <c r="FG39" s="884"/>
      <c r="FH39" s="884"/>
      <c r="FI39" s="884"/>
      <c r="FJ39" s="884"/>
      <c r="FK39" s="884"/>
      <c r="FL39" s="884"/>
      <c r="FM39" s="884"/>
      <c r="FN39" s="884"/>
      <c r="FO39" s="884"/>
      <c r="FP39" s="884"/>
      <c r="FQ39" s="884"/>
      <c r="FR39" s="884"/>
      <c r="FS39" s="884"/>
      <c r="FT39" s="884"/>
      <c r="FU39" s="884"/>
      <c r="FV39" s="884"/>
      <c r="FW39" s="884"/>
      <c r="FX39" s="884"/>
      <c r="FY39" s="884"/>
      <c r="FZ39" s="884"/>
      <c r="GA39" s="884"/>
      <c r="GB39" s="884"/>
      <c r="GC39" s="884"/>
      <c r="GD39" s="884"/>
      <c r="GE39" s="884"/>
      <c r="GF39" s="884"/>
      <c r="GG39" s="884"/>
      <c r="GH39" s="884"/>
      <c r="GI39" s="884"/>
      <c r="GJ39" s="884"/>
      <c r="GK39" s="884"/>
      <c r="GL39" s="884"/>
      <c r="GM39" s="884"/>
      <c r="GN39" s="884"/>
      <c r="GO39" s="884"/>
      <c r="GP39" s="884"/>
      <c r="GQ39" s="884"/>
      <c r="GR39" s="884"/>
      <c r="GS39" s="884"/>
      <c r="GT39" s="884"/>
      <c r="GU39" s="884"/>
      <c r="GV39" s="884"/>
      <c r="GW39" s="884"/>
      <c r="GX39" s="884"/>
      <c r="GY39" s="884"/>
      <c r="GZ39" s="884"/>
      <c r="HA39" s="884"/>
      <c r="HB39" s="884"/>
      <c r="HC39" s="884"/>
      <c r="HD39" s="884"/>
      <c r="HE39" s="884"/>
      <c r="HF39" s="884"/>
      <c r="HG39" s="884"/>
      <c r="HH39" s="884"/>
      <c r="HI39" s="884"/>
      <c r="HJ39" s="884"/>
      <c r="HK39" s="884"/>
      <c r="HL39" s="884"/>
      <c r="HM39" s="884"/>
      <c r="HN39" s="884"/>
      <c r="HO39" s="884"/>
      <c r="HP39" s="884"/>
      <c r="HQ39" s="884"/>
      <c r="HR39" s="884"/>
      <c r="HS39" s="884"/>
      <c r="HT39" s="884"/>
      <c r="HU39" s="884"/>
      <c r="HV39" s="884"/>
      <c r="HW39" s="884"/>
      <c r="HX39" s="884"/>
      <c r="HY39" s="884"/>
      <c r="HZ39" s="884"/>
      <c r="IA39" s="884"/>
      <c r="IB39" s="884"/>
      <c r="IC39" s="884"/>
      <c r="ID39" s="884"/>
      <c r="IE39" s="884"/>
      <c r="IF39" s="884"/>
      <c r="IG39" s="884"/>
      <c r="IH39" s="884"/>
      <c r="II39" s="884"/>
      <c r="IJ39" s="884"/>
      <c r="IK39" s="884"/>
      <c r="IL39" s="884"/>
      <c r="IM39" s="884"/>
      <c r="IN39" s="884"/>
      <c r="IO39" s="884"/>
      <c r="IP39" s="884"/>
      <c r="IQ39" s="884"/>
      <c r="IR39" s="884"/>
      <c r="IS39" s="884"/>
      <c r="IT39" s="884"/>
      <c r="IU39" s="884"/>
      <c r="IV39" s="884"/>
    </row>
    <row r="40" spans="1:256" s="883" customFormat="1" ht="42.75" x14ac:dyDescent="0.2">
      <c r="A40" s="902"/>
      <c r="B40" s="903"/>
      <c r="C40" s="4019"/>
      <c r="D40" s="4020"/>
      <c r="E40" s="931"/>
      <c r="F40" s="938"/>
      <c r="G40" s="4037">
        <v>186</v>
      </c>
      <c r="H40" s="4027" t="s">
        <v>801</v>
      </c>
      <c r="I40" s="4028" t="s">
        <v>802</v>
      </c>
      <c r="J40" s="4029">
        <v>1</v>
      </c>
      <c r="K40" s="940"/>
      <c r="L40" s="4003"/>
      <c r="M40" s="4043"/>
      <c r="N40" s="4047">
        <f>SUM(S40:S42)/O30</f>
        <v>0.23612750885478159</v>
      </c>
      <c r="O40" s="4009"/>
      <c r="P40" s="4046"/>
      <c r="Q40" s="2679" t="s">
        <v>803</v>
      </c>
      <c r="R40" s="942" t="s">
        <v>804</v>
      </c>
      <c r="S40" s="941">
        <f>25000000+1451000</f>
        <v>26451000</v>
      </c>
      <c r="T40" s="2490" t="s">
        <v>61</v>
      </c>
      <c r="U40" s="2485" t="s">
        <v>357</v>
      </c>
      <c r="V40" s="3997"/>
      <c r="W40" s="3997"/>
      <c r="X40" s="4000"/>
      <c r="Y40" s="4000"/>
      <c r="Z40" s="4000"/>
      <c r="AA40" s="4000"/>
      <c r="AB40" s="4000"/>
      <c r="AC40" s="4000"/>
      <c r="AD40" s="4000"/>
      <c r="AE40" s="4000"/>
      <c r="AF40" s="4000"/>
      <c r="AG40" s="4000"/>
      <c r="AH40" s="4000"/>
      <c r="AI40" s="4000"/>
      <c r="AJ40" s="4000"/>
      <c r="AK40" s="4000"/>
      <c r="AL40" s="4013"/>
      <c r="AM40" s="4013"/>
      <c r="AN40" s="2622"/>
      <c r="AT40" s="884"/>
      <c r="AU40" s="884"/>
      <c r="AV40" s="884"/>
      <c r="AW40" s="884"/>
      <c r="AX40" s="884"/>
      <c r="AY40" s="884"/>
      <c r="AZ40" s="884"/>
      <c r="BA40" s="884"/>
      <c r="BB40" s="884"/>
      <c r="BC40" s="884"/>
      <c r="BD40" s="884"/>
      <c r="BE40" s="884"/>
      <c r="BF40" s="884"/>
      <c r="BG40" s="884"/>
      <c r="BH40" s="884"/>
      <c r="BI40" s="884"/>
      <c r="BJ40" s="884"/>
      <c r="BK40" s="884"/>
      <c r="BL40" s="884"/>
      <c r="BM40" s="884"/>
      <c r="BN40" s="884"/>
      <c r="BO40" s="884"/>
      <c r="BP40" s="884"/>
      <c r="BQ40" s="884"/>
      <c r="BR40" s="884"/>
      <c r="BS40" s="884"/>
      <c r="BT40" s="884"/>
      <c r="BU40" s="884"/>
      <c r="BV40" s="884"/>
      <c r="BW40" s="884"/>
      <c r="BX40" s="884"/>
      <c r="BY40" s="884"/>
      <c r="BZ40" s="884"/>
      <c r="CA40" s="884"/>
      <c r="CB40" s="884"/>
      <c r="CC40" s="884"/>
      <c r="CD40" s="884"/>
      <c r="CE40" s="884"/>
      <c r="CF40" s="884"/>
      <c r="CG40" s="884"/>
      <c r="CH40" s="884"/>
      <c r="CI40" s="884"/>
      <c r="CJ40" s="884"/>
      <c r="CK40" s="884"/>
      <c r="CL40" s="884"/>
      <c r="CM40" s="884"/>
      <c r="CN40" s="884"/>
      <c r="CO40" s="884"/>
      <c r="CP40" s="884"/>
      <c r="CQ40" s="884"/>
      <c r="CR40" s="884"/>
      <c r="CS40" s="884"/>
      <c r="CT40" s="884"/>
      <c r="CU40" s="884"/>
      <c r="CV40" s="884"/>
      <c r="CW40" s="884"/>
      <c r="CX40" s="884"/>
      <c r="CY40" s="884"/>
      <c r="CZ40" s="884"/>
      <c r="DA40" s="884"/>
      <c r="DB40" s="884"/>
      <c r="DC40" s="884"/>
      <c r="DD40" s="884"/>
      <c r="DE40" s="884"/>
      <c r="DF40" s="884"/>
      <c r="DG40" s="884"/>
      <c r="DH40" s="884"/>
      <c r="DI40" s="884"/>
      <c r="DJ40" s="884"/>
      <c r="DK40" s="884"/>
      <c r="DL40" s="884"/>
      <c r="DM40" s="884"/>
      <c r="DN40" s="884"/>
      <c r="DO40" s="884"/>
      <c r="DP40" s="884"/>
      <c r="DQ40" s="884"/>
      <c r="DR40" s="884"/>
      <c r="DS40" s="884"/>
      <c r="DT40" s="884"/>
      <c r="DU40" s="884"/>
      <c r="DV40" s="884"/>
      <c r="DW40" s="884"/>
      <c r="DX40" s="884"/>
      <c r="DY40" s="884"/>
      <c r="DZ40" s="884"/>
      <c r="EA40" s="884"/>
      <c r="EB40" s="884"/>
      <c r="EC40" s="884"/>
      <c r="ED40" s="884"/>
      <c r="EE40" s="884"/>
      <c r="EF40" s="884"/>
      <c r="EG40" s="884"/>
      <c r="EH40" s="884"/>
      <c r="EI40" s="884"/>
      <c r="EJ40" s="884"/>
      <c r="EK40" s="884"/>
      <c r="EL40" s="884"/>
      <c r="EM40" s="884"/>
      <c r="EN40" s="884"/>
      <c r="EO40" s="884"/>
      <c r="EP40" s="884"/>
      <c r="EQ40" s="884"/>
      <c r="ER40" s="884"/>
      <c r="ES40" s="884"/>
      <c r="ET40" s="884"/>
      <c r="EU40" s="884"/>
      <c r="EV40" s="884"/>
      <c r="EW40" s="884"/>
      <c r="EX40" s="884"/>
      <c r="EY40" s="884"/>
      <c r="EZ40" s="884"/>
      <c r="FA40" s="884"/>
      <c r="FB40" s="884"/>
      <c r="FC40" s="884"/>
      <c r="FD40" s="884"/>
      <c r="FE40" s="884"/>
      <c r="FF40" s="884"/>
      <c r="FG40" s="884"/>
      <c r="FH40" s="884"/>
      <c r="FI40" s="884"/>
      <c r="FJ40" s="884"/>
      <c r="FK40" s="884"/>
      <c r="FL40" s="884"/>
      <c r="FM40" s="884"/>
      <c r="FN40" s="884"/>
      <c r="FO40" s="884"/>
      <c r="FP40" s="884"/>
      <c r="FQ40" s="884"/>
      <c r="FR40" s="884"/>
      <c r="FS40" s="884"/>
      <c r="FT40" s="884"/>
      <c r="FU40" s="884"/>
      <c r="FV40" s="884"/>
      <c r="FW40" s="884"/>
      <c r="FX40" s="884"/>
      <c r="FY40" s="884"/>
      <c r="FZ40" s="884"/>
      <c r="GA40" s="884"/>
      <c r="GB40" s="884"/>
      <c r="GC40" s="884"/>
      <c r="GD40" s="884"/>
      <c r="GE40" s="884"/>
      <c r="GF40" s="884"/>
      <c r="GG40" s="884"/>
      <c r="GH40" s="884"/>
      <c r="GI40" s="884"/>
      <c r="GJ40" s="884"/>
      <c r="GK40" s="884"/>
      <c r="GL40" s="884"/>
      <c r="GM40" s="884"/>
      <c r="GN40" s="884"/>
      <c r="GO40" s="884"/>
      <c r="GP40" s="884"/>
      <c r="GQ40" s="884"/>
      <c r="GR40" s="884"/>
      <c r="GS40" s="884"/>
      <c r="GT40" s="884"/>
      <c r="GU40" s="884"/>
      <c r="GV40" s="884"/>
      <c r="GW40" s="884"/>
      <c r="GX40" s="884"/>
      <c r="GY40" s="884"/>
      <c r="GZ40" s="884"/>
      <c r="HA40" s="884"/>
      <c r="HB40" s="884"/>
      <c r="HC40" s="884"/>
      <c r="HD40" s="884"/>
      <c r="HE40" s="884"/>
      <c r="HF40" s="884"/>
      <c r="HG40" s="884"/>
      <c r="HH40" s="884"/>
      <c r="HI40" s="884"/>
      <c r="HJ40" s="884"/>
      <c r="HK40" s="884"/>
      <c r="HL40" s="884"/>
      <c r="HM40" s="884"/>
      <c r="HN40" s="884"/>
      <c r="HO40" s="884"/>
      <c r="HP40" s="884"/>
      <c r="HQ40" s="884"/>
      <c r="HR40" s="884"/>
      <c r="HS40" s="884"/>
      <c r="HT40" s="884"/>
      <c r="HU40" s="884"/>
      <c r="HV40" s="884"/>
      <c r="HW40" s="884"/>
      <c r="HX40" s="884"/>
      <c r="HY40" s="884"/>
      <c r="HZ40" s="884"/>
      <c r="IA40" s="884"/>
      <c r="IB40" s="884"/>
      <c r="IC40" s="884"/>
      <c r="ID40" s="884"/>
      <c r="IE40" s="884"/>
      <c r="IF40" s="884"/>
      <c r="IG40" s="884"/>
      <c r="IH40" s="884"/>
      <c r="II40" s="884"/>
      <c r="IJ40" s="884"/>
      <c r="IK40" s="884"/>
      <c r="IL40" s="884"/>
      <c r="IM40" s="884"/>
      <c r="IN40" s="884"/>
      <c r="IO40" s="884"/>
      <c r="IP40" s="884"/>
      <c r="IQ40" s="884"/>
      <c r="IR40" s="884"/>
      <c r="IS40" s="884"/>
      <c r="IT40" s="884"/>
      <c r="IU40" s="884"/>
      <c r="IV40" s="884"/>
    </row>
    <row r="41" spans="1:256" s="883" customFormat="1" ht="42.75" x14ac:dyDescent="0.2">
      <c r="A41" s="902"/>
      <c r="B41" s="903"/>
      <c r="C41" s="4019"/>
      <c r="D41" s="4020"/>
      <c r="E41" s="931"/>
      <c r="F41" s="938"/>
      <c r="G41" s="4037"/>
      <c r="H41" s="4027"/>
      <c r="I41" s="4028"/>
      <c r="J41" s="4029"/>
      <c r="K41" s="940"/>
      <c r="L41" s="4003"/>
      <c r="M41" s="4043"/>
      <c r="N41" s="4047"/>
      <c r="O41" s="4009"/>
      <c r="P41" s="4046"/>
      <c r="Q41" s="2680"/>
      <c r="R41" s="942" t="s">
        <v>805</v>
      </c>
      <c r="S41" s="941">
        <f>8500000-1451000</f>
        <v>7049000</v>
      </c>
      <c r="T41" s="2490" t="s">
        <v>61</v>
      </c>
      <c r="U41" s="2485" t="s">
        <v>357</v>
      </c>
      <c r="V41" s="3997"/>
      <c r="W41" s="3997"/>
      <c r="X41" s="4000"/>
      <c r="Y41" s="4000"/>
      <c r="Z41" s="4000"/>
      <c r="AA41" s="4000"/>
      <c r="AB41" s="4000"/>
      <c r="AC41" s="4000"/>
      <c r="AD41" s="4000"/>
      <c r="AE41" s="4000"/>
      <c r="AF41" s="4000"/>
      <c r="AG41" s="4000"/>
      <c r="AH41" s="4000"/>
      <c r="AI41" s="4000"/>
      <c r="AJ41" s="4000"/>
      <c r="AK41" s="4000"/>
      <c r="AL41" s="4013"/>
      <c r="AM41" s="4013"/>
      <c r="AN41" s="2622"/>
      <c r="AT41" s="884"/>
      <c r="AU41" s="884"/>
      <c r="AV41" s="884"/>
      <c r="AW41" s="884"/>
      <c r="AX41" s="884"/>
      <c r="AY41" s="884"/>
      <c r="AZ41" s="884"/>
      <c r="BA41" s="884"/>
      <c r="BB41" s="884"/>
      <c r="BC41" s="884"/>
      <c r="BD41" s="884"/>
      <c r="BE41" s="884"/>
      <c r="BF41" s="884"/>
      <c r="BG41" s="884"/>
      <c r="BH41" s="884"/>
      <c r="BI41" s="884"/>
      <c r="BJ41" s="884"/>
      <c r="BK41" s="884"/>
      <c r="BL41" s="884"/>
      <c r="BM41" s="884"/>
      <c r="BN41" s="884"/>
      <c r="BO41" s="884"/>
      <c r="BP41" s="884"/>
      <c r="BQ41" s="884"/>
      <c r="BR41" s="884"/>
      <c r="BS41" s="884"/>
      <c r="BT41" s="884"/>
      <c r="BU41" s="884"/>
      <c r="BV41" s="884"/>
      <c r="BW41" s="884"/>
      <c r="BX41" s="884"/>
      <c r="BY41" s="884"/>
      <c r="BZ41" s="884"/>
      <c r="CA41" s="884"/>
      <c r="CB41" s="884"/>
      <c r="CC41" s="884"/>
      <c r="CD41" s="884"/>
      <c r="CE41" s="884"/>
      <c r="CF41" s="884"/>
      <c r="CG41" s="884"/>
      <c r="CH41" s="884"/>
      <c r="CI41" s="884"/>
      <c r="CJ41" s="884"/>
      <c r="CK41" s="884"/>
      <c r="CL41" s="884"/>
      <c r="CM41" s="884"/>
      <c r="CN41" s="884"/>
      <c r="CO41" s="884"/>
      <c r="CP41" s="884"/>
      <c r="CQ41" s="884"/>
      <c r="CR41" s="884"/>
      <c r="CS41" s="884"/>
      <c r="CT41" s="884"/>
      <c r="CU41" s="884"/>
      <c r="CV41" s="884"/>
      <c r="CW41" s="884"/>
      <c r="CX41" s="884"/>
      <c r="CY41" s="884"/>
      <c r="CZ41" s="884"/>
      <c r="DA41" s="884"/>
      <c r="DB41" s="884"/>
      <c r="DC41" s="884"/>
      <c r="DD41" s="884"/>
      <c r="DE41" s="884"/>
      <c r="DF41" s="884"/>
      <c r="DG41" s="884"/>
      <c r="DH41" s="884"/>
      <c r="DI41" s="884"/>
      <c r="DJ41" s="884"/>
      <c r="DK41" s="884"/>
      <c r="DL41" s="884"/>
      <c r="DM41" s="884"/>
      <c r="DN41" s="884"/>
      <c r="DO41" s="884"/>
      <c r="DP41" s="884"/>
      <c r="DQ41" s="884"/>
      <c r="DR41" s="884"/>
      <c r="DS41" s="884"/>
      <c r="DT41" s="884"/>
      <c r="DU41" s="884"/>
      <c r="DV41" s="884"/>
      <c r="DW41" s="884"/>
      <c r="DX41" s="884"/>
      <c r="DY41" s="884"/>
      <c r="DZ41" s="884"/>
      <c r="EA41" s="884"/>
      <c r="EB41" s="884"/>
      <c r="EC41" s="884"/>
      <c r="ED41" s="884"/>
      <c r="EE41" s="884"/>
      <c r="EF41" s="884"/>
      <c r="EG41" s="884"/>
      <c r="EH41" s="884"/>
      <c r="EI41" s="884"/>
      <c r="EJ41" s="884"/>
      <c r="EK41" s="884"/>
      <c r="EL41" s="884"/>
      <c r="EM41" s="884"/>
      <c r="EN41" s="884"/>
      <c r="EO41" s="884"/>
      <c r="EP41" s="884"/>
      <c r="EQ41" s="884"/>
      <c r="ER41" s="884"/>
      <c r="ES41" s="884"/>
      <c r="ET41" s="884"/>
      <c r="EU41" s="884"/>
      <c r="EV41" s="884"/>
      <c r="EW41" s="884"/>
      <c r="EX41" s="884"/>
      <c r="EY41" s="884"/>
      <c r="EZ41" s="884"/>
      <c r="FA41" s="884"/>
      <c r="FB41" s="884"/>
      <c r="FC41" s="884"/>
      <c r="FD41" s="884"/>
      <c r="FE41" s="884"/>
      <c r="FF41" s="884"/>
      <c r="FG41" s="884"/>
      <c r="FH41" s="884"/>
      <c r="FI41" s="884"/>
      <c r="FJ41" s="884"/>
      <c r="FK41" s="884"/>
      <c r="FL41" s="884"/>
      <c r="FM41" s="884"/>
      <c r="FN41" s="884"/>
      <c r="FO41" s="884"/>
      <c r="FP41" s="884"/>
      <c r="FQ41" s="884"/>
      <c r="FR41" s="884"/>
      <c r="FS41" s="884"/>
      <c r="FT41" s="884"/>
      <c r="FU41" s="884"/>
      <c r="FV41" s="884"/>
      <c r="FW41" s="884"/>
      <c r="FX41" s="884"/>
      <c r="FY41" s="884"/>
      <c r="FZ41" s="884"/>
      <c r="GA41" s="884"/>
      <c r="GB41" s="884"/>
      <c r="GC41" s="884"/>
      <c r="GD41" s="884"/>
      <c r="GE41" s="884"/>
      <c r="GF41" s="884"/>
      <c r="GG41" s="884"/>
      <c r="GH41" s="884"/>
      <c r="GI41" s="884"/>
      <c r="GJ41" s="884"/>
      <c r="GK41" s="884"/>
      <c r="GL41" s="884"/>
      <c r="GM41" s="884"/>
      <c r="GN41" s="884"/>
      <c r="GO41" s="884"/>
      <c r="GP41" s="884"/>
      <c r="GQ41" s="884"/>
      <c r="GR41" s="884"/>
      <c r="GS41" s="884"/>
      <c r="GT41" s="884"/>
      <c r="GU41" s="884"/>
      <c r="GV41" s="884"/>
      <c r="GW41" s="884"/>
      <c r="GX41" s="884"/>
      <c r="GY41" s="884"/>
      <c r="GZ41" s="884"/>
      <c r="HA41" s="884"/>
      <c r="HB41" s="884"/>
      <c r="HC41" s="884"/>
      <c r="HD41" s="884"/>
      <c r="HE41" s="884"/>
      <c r="HF41" s="884"/>
      <c r="HG41" s="884"/>
      <c r="HH41" s="884"/>
      <c r="HI41" s="884"/>
      <c r="HJ41" s="884"/>
      <c r="HK41" s="884"/>
      <c r="HL41" s="884"/>
      <c r="HM41" s="884"/>
      <c r="HN41" s="884"/>
      <c r="HO41" s="884"/>
      <c r="HP41" s="884"/>
      <c r="HQ41" s="884"/>
      <c r="HR41" s="884"/>
      <c r="HS41" s="884"/>
      <c r="HT41" s="884"/>
      <c r="HU41" s="884"/>
      <c r="HV41" s="884"/>
      <c r="HW41" s="884"/>
      <c r="HX41" s="884"/>
      <c r="HY41" s="884"/>
      <c r="HZ41" s="884"/>
      <c r="IA41" s="884"/>
      <c r="IB41" s="884"/>
      <c r="IC41" s="884"/>
      <c r="ID41" s="884"/>
      <c r="IE41" s="884"/>
      <c r="IF41" s="884"/>
      <c r="IG41" s="884"/>
      <c r="IH41" s="884"/>
      <c r="II41" s="884"/>
      <c r="IJ41" s="884"/>
      <c r="IK41" s="884"/>
      <c r="IL41" s="884"/>
      <c r="IM41" s="884"/>
      <c r="IN41" s="884"/>
      <c r="IO41" s="884"/>
      <c r="IP41" s="884"/>
      <c r="IQ41" s="884"/>
      <c r="IR41" s="884"/>
      <c r="IS41" s="884"/>
      <c r="IT41" s="884"/>
      <c r="IU41" s="884"/>
      <c r="IV41" s="884"/>
    </row>
    <row r="42" spans="1:256" s="883" customFormat="1" ht="42.75" x14ac:dyDescent="0.2">
      <c r="A42" s="904"/>
      <c r="B42" s="903"/>
      <c r="C42" s="4019"/>
      <c r="D42" s="4020"/>
      <c r="E42" s="943"/>
      <c r="F42" s="944"/>
      <c r="G42" s="4037"/>
      <c r="H42" s="4027"/>
      <c r="I42" s="4028"/>
      <c r="J42" s="4029"/>
      <c r="K42" s="945"/>
      <c r="L42" s="4004"/>
      <c r="M42" s="4044"/>
      <c r="N42" s="4047"/>
      <c r="O42" s="4009"/>
      <c r="P42" s="4046"/>
      <c r="Q42" s="4048"/>
      <c r="R42" s="946" t="s">
        <v>806</v>
      </c>
      <c r="S42" s="941">
        <v>6500000</v>
      </c>
      <c r="T42" s="2490" t="s">
        <v>61</v>
      </c>
      <c r="U42" s="2485" t="s">
        <v>357</v>
      </c>
      <c r="V42" s="3998"/>
      <c r="W42" s="3998"/>
      <c r="X42" s="4001"/>
      <c r="Y42" s="4001"/>
      <c r="Z42" s="4001"/>
      <c r="AA42" s="4001"/>
      <c r="AB42" s="4001"/>
      <c r="AC42" s="4001"/>
      <c r="AD42" s="4001"/>
      <c r="AE42" s="4001"/>
      <c r="AF42" s="4001"/>
      <c r="AG42" s="4001"/>
      <c r="AH42" s="4001"/>
      <c r="AI42" s="4001"/>
      <c r="AJ42" s="4001"/>
      <c r="AK42" s="4001"/>
      <c r="AL42" s="4013"/>
      <c r="AM42" s="4013"/>
      <c r="AN42" s="2622"/>
      <c r="AT42" s="884"/>
      <c r="AU42" s="884"/>
      <c r="AV42" s="884"/>
      <c r="AW42" s="884"/>
      <c r="AX42" s="884"/>
      <c r="AY42" s="884"/>
      <c r="AZ42" s="884"/>
      <c r="BA42" s="884"/>
      <c r="BB42" s="884"/>
      <c r="BC42" s="884"/>
      <c r="BD42" s="884"/>
      <c r="BE42" s="884"/>
      <c r="BF42" s="884"/>
      <c r="BG42" s="884"/>
      <c r="BH42" s="884"/>
      <c r="BI42" s="884"/>
      <c r="BJ42" s="884"/>
      <c r="BK42" s="884"/>
      <c r="BL42" s="884"/>
      <c r="BM42" s="884"/>
      <c r="BN42" s="884"/>
      <c r="BO42" s="884"/>
      <c r="BP42" s="884"/>
      <c r="BQ42" s="884"/>
      <c r="BR42" s="884"/>
      <c r="BS42" s="884"/>
      <c r="BT42" s="884"/>
      <c r="BU42" s="884"/>
      <c r="BV42" s="884"/>
      <c r="BW42" s="884"/>
      <c r="BX42" s="884"/>
      <c r="BY42" s="884"/>
      <c r="BZ42" s="884"/>
      <c r="CA42" s="884"/>
      <c r="CB42" s="884"/>
      <c r="CC42" s="884"/>
      <c r="CD42" s="884"/>
      <c r="CE42" s="884"/>
      <c r="CF42" s="884"/>
      <c r="CG42" s="884"/>
      <c r="CH42" s="884"/>
      <c r="CI42" s="884"/>
      <c r="CJ42" s="884"/>
      <c r="CK42" s="884"/>
      <c r="CL42" s="884"/>
      <c r="CM42" s="884"/>
      <c r="CN42" s="884"/>
      <c r="CO42" s="884"/>
      <c r="CP42" s="884"/>
      <c r="CQ42" s="884"/>
      <c r="CR42" s="884"/>
      <c r="CS42" s="884"/>
      <c r="CT42" s="884"/>
      <c r="CU42" s="884"/>
      <c r="CV42" s="884"/>
      <c r="CW42" s="884"/>
      <c r="CX42" s="884"/>
      <c r="CY42" s="884"/>
      <c r="CZ42" s="884"/>
      <c r="DA42" s="884"/>
      <c r="DB42" s="884"/>
      <c r="DC42" s="884"/>
      <c r="DD42" s="884"/>
      <c r="DE42" s="884"/>
      <c r="DF42" s="884"/>
      <c r="DG42" s="884"/>
      <c r="DH42" s="884"/>
      <c r="DI42" s="884"/>
      <c r="DJ42" s="884"/>
      <c r="DK42" s="884"/>
      <c r="DL42" s="884"/>
      <c r="DM42" s="884"/>
      <c r="DN42" s="884"/>
      <c r="DO42" s="884"/>
      <c r="DP42" s="884"/>
      <c r="DQ42" s="884"/>
      <c r="DR42" s="884"/>
      <c r="DS42" s="884"/>
      <c r="DT42" s="884"/>
      <c r="DU42" s="884"/>
      <c r="DV42" s="884"/>
      <c r="DW42" s="884"/>
      <c r="DX42" s="884"/>
      <c r="DY42" s="884"/>
      <c r="DZ42" s="884"/>
      <c r="EA42" s="884"/>
      <c r="EB42" s="884"/>
      <c r="EC42" s="884"/>
      <c r="ED42" s="884"/>
      <c r="EE42" s="884"/>
      <c r="EF42" s="884"/>
      <c r="EG42" s="884"/>
      <c r="EH42" s="884"/>
      <c r="EI42" s="884"/>
      <c r="EJ42" s="884"/>
      <c r="EK42" s="884"/>
      <c r="EL42" s="884"/>
      <c r="EM42" s="884"/>
      <c r="EN42" s="884"/>
      <c r="EO42" s="884"/>
      <c r="EP42" s="884"/>
      <c r="EQ42" s="884"/>
      <c r="ER42" s="884"/>
      <c r="ES42" s="884"/>
      <c r="ET42" s="884"/>
      <c r="EU42" s="884"/>
      <c r="EV42" s="884"/>
      <c r="EW42" s="884"/>
      <c r="EX42" s="884"/>
      <c r="EY42" s="884"/>
      <c r="EZ42" s="884"/>
      <c r="FA42" s="884"/>
      <c r="FB42" s="884"/>
      <c r="FC42" s="884"/>
      <c r="FD42" s="884"/>
      <c r="FE42" s="884"/>
      <c r="FF42" s="884"/>
      <c r="FG42" s="884"/>
      <c r="FH42" s="884"/>
      <c r="FI42" s="884"/>
      <c r="FJ42" s="884"/>
      <c r="FK42" s="884"/>
      <c r="FL42" s="884"/>
      <c r="FM42" s="884"/>
      <c r="FN42" s="884"/>
      <c r="FO42" s="884"/>
      <c r="FP42" s="884"/>
      <c r="FQ42" s="884"/>
      <c r="FR42" s="884"/>
      <c r="FS42" s="884"/>
      <c r="FT42" s="884"/>
      <c r="FU42" s="884"/>
      <c r="FV42" s="884"/>
      <c r="FW42" s="884"/>
      <c r="FX42" s="884"/>
      <c r="FY42" s="884"/>
      <c r="FZ42" s="884"/>
      <c r="GA42" s="884"/>
      <c r="GB42" s="884"/>
      <c r="GC42" s="884"/>
      <c r="GD42" s="884"/>
      <c r="GE42" s="884"/>
      <c r="GF42" s="884"/>
      <c r="GG42" s="884"/>
      <c r="GH42" s="884"/>
      <c r="GI42" s="884"/>
      <c r="GJ42" s="884"/>
      <c r="GK42" s="884"/>
      <c r="GL42" s="884"/>
      <c r="GM42" s="884"/>
      <c r="GN42" s="884"/>
      <c r="GO42" s="884"/>
      <c r="GP42" s="884"/>
      <c r="GQ42" s="884"/>
      <c r="GR42" s="884"/>
      <c r="GS42" s="884"/>
      <c r="GT42" s="884"/>
      <c r="GU42" s="884"/>
      <c r="GV42" s="884"/>
      <c r="GW42" s="884"/>
      <c r="GX42" s="884"/>
      <c r="GY42" s="884"/>
      <c r="GZ42" s="884"/>
      <c r="HA42" s="884"/>
      <c r="HB42" s="884"/>
      <c r="HC42" s="884"/>
      <c r="HD42" s="884"/>
      <c r="HE42" s="884"/>
      <c r="HF42" s="884"/>
      <c r="HG42" s="884"/>
      <c r="HH42" s="884"/>
      <c r="HI42" s="884"/>
      <c r="HJ42" s="884"/>
      <c r="HK42" s="884"/>
      <c r="HL42" s="884"/>
      <c r="HM42" s="884"/>
      <c r="HN42" s="884"/>
      <c r="HO42" s="884"/>
      <c r="HP42" s="884"/>
      <c r="HQ42" s="884"/>
      <c r="HR42" s="884"/>
      <c r="HS42" s="884"/>
      <c r="HT42" s="884"/>
      <c r="HU42" s="884"/>
      <c r="HV42" s="884"/>
      <c r="HW42" s="884"/>
      <c r="HX42" s="884"/>
      <c r="HY42" s="884"/>
      <c r="HZ42" s="884"/>
      <c r="IA42" s="884"/>
      <c r="IB42" s="884"/>
      <c r="IC42" s="884"/>
      <c r="ID42" s="884"/>
      <c r="IE42" s="884"/>
      <c r="IF42" s="884"/>
      <c r="IG42" s="884"/>
      <c r="IH42" s="884"/>
      <c r="II42" s="884"/>
      <c r="IJ42" s="884"/>
      <c r="IK42" s="884"/>
      <c r="IL42" s="884"/>
      <c r="IM42" s="884"/>
      <c r="IN42" s="884"/>
      <c r="IO42" s="884"/>
      <c r="IP42" s="884"/>
      <c r="IQ42" s="884"/>
      <c r="IR42" s="884"/>
      <c r="IS42" s="884"/>
      <c r="IT42" s="884"/>
      <c r="IU42" s="884"/>
      <c r="IV42" s="884"/>
    </row>
    <row r="43" spans="1:256" s="883" customFormat="1" ht="15.75" x14ac:dyDescent="0.2">
      <c r="A43" s="947"/>
      <c r="B43" s="948"/>
      <c r="C43" s="4019"/>
      <c r="D43" s="4020"/>
      <c r="E43" s="949">
        <v>60</v>
      </c>
      <c r="F43" s="906" t="s">
        <v>807</v>
      </c>
      <c r="G43" s="907"/>
      <c r="H43" s="908"/>
      <c r="I43" s="908"/>
      <c r="J43" s="907"/>
      <c r="K43" s="907"/>
      <c r="L43" s="907"/>
      <c r="M43" s="908"/>
      <c r="N43" s="924"/>
      <c r="O43" s="925"/>
      <c r="P43" s="908"/>
      <c r="Q43" s="908"/>
      <c r="R43" s="908"/>
      <c r="S43" s="950"/>
      <c r="T43" s="686"/>
      <c r="U43" s="686"/>
      <c r="V43" s="907"/>
      <c r="W43" s="907"/>
      <c r="X43" s="907"/>
      <c r="Y43" s="907"/>
      <c r="Z43" s="907"/>
      <c r="AA43" s="907"/>
      <c r="AB43" s="907"/>
      <c r="AC43" s="907"/>
      <c r="AD43" s="907"/>
      <c r="AE43" s="907"/>
      <c r="AF43" s="907"/>
      <c r="AG43" s="907"/>
      <c r="AH43" s="907"/>
      <c r="AI43" s="907"/>
      <c r="AJ43" s="907"/>
      <c r="AK43" s="907"/>
      <c r="AL43" s="907"/>
      <c r="AM43" s="951"/>
      <c r="AN43" s="907"/>
      <c r="AO43" s="927"/>
      <c r="AT43" s="884"/>
      <c r="AU43" s="884"/>
      <c r="AV43" s="884"/>
      <c r="AW43" s="884"/>
      <c r="AX43" s="884"/>
      <c r="AY43" s="884"/>
      <c r="AZ43" s="884"/>
      <c r="BA43" s="884"/>
      <c r="BB43" s="884"/>
      <c r="BC43" s="884"/>
      <c r="BD43" s="884"/>
      <c r="BE43" s="884"/>
      <c r="BF43" s="884"/>
      <c r="BG43" s="884"/>
      <c r="BH43" s="884"/>
      <c r="BI43" s="884"/>
      <c r="BJ43" s="884"/>
      <c r="BK43" s="884"/>
      <c r="BL43" s="884"/>
      <c r="BM43" s="884"/>
      <c r="BN43" s="884"/>
      <c r="BO43" s="884"/>
      <c r="BP43" s="884"/>
      <c r="BQ43" s="884"/>
      <c r="BR43" s="884"/>
      <c r="BS43" s="884"/>
      <c r="BT43" s="884"/>
      <c r="BU43" s="884"/>
      <c r="BV43" s="884"/>
      <c r="BW43" s="884"/>
      <c r="BX43" s="884"/>
      <c r="BY43" s="884"/>
      <c r="BZ43" s="884"/>
      <c r="CA43" s="884"/>
      <c r="CB43" s="884"/>
      <c r="CC43" s="884"/>
      <c r="CD43" s="884"/>
      <c r="CE43" s="884"/>
      <c r="CF43" s="884"/>
      <c r="CG43" s="884"/>
      <c r="CH43" s="884"/>
      <c r="CI43" s="884"/>
      <c r="CJ43" s="884"/>
      <c r="CK43" s="884"/>
      <c r="CL43" s="884"/>
      <c r="CM43" s="884"/>
      <c r="CN43" s="884"/>
      <c r="CO43" s="884"/>
      <c r="CP43" s="884"/>
      <c r="CQ43" s="884"/>
      <c r="CR43" s="884"/>
      <c r="CS43" s="884"/>
      <c r="CT43" s="884"/>
      <c r="CU43" s="884"/>
      <c r="CV43" s="884"/>
      <c r="CW43" s="884"/>
      <c r="CX43" s="884"/>
      <c r="CY43" s="884"/>
      <c r="CZ43" s="884"/>
      <c r="DA43" s="884"/>
      <c r="DB43" s="884"/>
      <c r="DC43" s="884"/>
      <c r="DD43" s="884"/>
      <c r="DE43" s="884"/>
      <c r="DF43" s="884"/>
      <c r="DG43" s="884"/>
      <c r="DH43" s="884"/>
      <c r="DI43" s="884"/>
      <c r="DJ43" s="884"/>
      <c r="DK43" s="884"/>
      <c r="DL43" s="884"/>
      <c r="DM43" s="884"/>
      <c r="DN43" s="884"/>
      <c r="DO43" s="884"/>
      <c r="DP43" s="884"/>
      <c r="DQ43" s="884"/>
      <c r="DR43" s="884"/>
      <c r="DS43" s="884"/>
      <c r="DT43" s="884"/>
      <c r="DU43" s="884"/>
      <c r="DV43" s="884"/>
      <c r="DW43" s="884"/>
      <c r="DX43" s="884"/>
      <c r="DY43" s="884"/>
      <c r="DZ43" s="884"/>
      <c r="EA43" s="884"/>
      <c r="EB43" s="884"/>
      <c r="EC43" s="884"/>
      <c r="ED43" s="884"/>
      <c r="EE43" s="884"/>
      <c r="EF43" s="884"/>
      <c r="EG43" s="884"/>
      <c r="EH43" s="884"/>
      <c r="EI43" s="884"/>
      <c r="EJ43" s="884"/>
      <c r="EK43" s="884"/>
      <c r="EL43" s="884"/>
      <c r="EM43" s="884"/>
      <c r="EN43" s="884"/>
      <c r="EO43" s="884"/>
      <c r="EP43" s="884"/>
      <c r="EQ43" s="884"/>
      <c r="ER43" s="884"/>
      <c r="ES43" s="884"/>
      <c r="ET43" s="884"/>
      <c r="EU43" s="884"/>
      <c r="EV43" s="884"/>
      <c r="EW43" s="884"/>
      <c r="EX43" s="884"/>
      <c r="EY43" s="884"/>
      <c r="EZ43" s="884"/>
      <c r="FA43" s="884"/>
      <c r="FB43" s="884"/>
      <c r="FC43" s="884"/>
      <c r="FD43" s="884"/>
      <c r="FE43" s="884"/>
      <c r="FF43" s="884"/>
      <c r="FG43" s="884"/>
      <c r="FH43" s="884"/>
      <c r="FI43" s="884"/>
      <c r="FJ43" s="884"/>
      <c r="FK43" s="884"/>
      <c r="FL43" s="884"/>
      <c r="FM43" s="884"/>
      <c r="FN43" s="884"/>
      <c r="FO43" s="884"/>
      <c r="FP43" s="884"/>
      <c r="FQ43" s="884"/>
      <c r="FR43" s="884"/>
      <c r="FS43" s="884"/>
      <c r="FT43" s="884"/>
      <c r="FU43" s="884"/>
      <c r="FV43" s="884"/>
      <c r="FW43" s="884"/>
      <c r="FX43" s="884"/>
      <c r="FY43" s="884"/>
      <c r="FZ43" s="884"/>
      <c r="GA43" s="884"/>
      <c r="GB43" s="884"/>
      <c r="GC43" s="884"/>
      <c r="GD43" s="884"/>
      <c r="GE43" s="884"/>
      <c r="GF43" s="884"/>
      <c r="GG43" s="884"/>
      <c r="GH43" s="884"/>
      <c r="GI43" s="884"/>
      <c r="GJ43" s="884"/>
      <c r="GK43" s="884"/>
      <c r="GL43" s="884"/>
      <c r="GM43" s="884"/>
      <c r="GN43" s="884"/>
      <c r="GO43" s="884"/>
      <c r="GP43" s="884"/>
      <c r="GQ43" s="884"/>
      <c r="GR43" s="884"/>
      <c r="GS43" s="884"/>
      <c r="GT43" s="884"/>
      <c r="GU43" s="884"/>
      <c r="GV43" s="884"/>
      <c r="GW43" s="884"/>
      <c r="GX43" s="884"/>
      <c r="GY43" s="884"/>
      <c r="GZ43" s="884"/>
      <c r="HA43" s="884"/>
      <c r="HB43" s="884"/>
      <c r="HC43" s="884"/>
      <c r="HD43" s="884"/>
      <c r="HE43" s="884"/>
      <c r="HF43" s="884"/>
      <c r="HG43" s="884"/>
      <c r="HH43" s="884"/>
      <c r="HI43" s="884"/>
      <c r="HJ43" s="884"/>
      <c r="HK43" s="884"/>
      <c r="HL43" s="884"/>
      <c r="HM43" s="884"/>
      <c r="HN43" s="884"/>
      <c r="HO43" s="884"/>
      <c r="HP43" s="884"/>
      <c r="HQ43" s="884"/>
      <c r="HR43" s="884"/>
      <c r="HS43" s="884"/>
      <c r="HT43" s="884"/>
      <c r="HU43" s="884"/>
      <c r="HV43" s="884"/>
      <c r="HW43" s="884"/>
      <c r="HX43" s="884"/>
      <c r="HY43" s="884"/>
      <c r="HZ43" s="884"/>
      <c r="IA43" s="884"/>
      <c r="IB43" s="884"/>
      <c r="IC43" s="884"/>
      <c r="ID43" s="884"/>
      <c r="IE43" s="884"/>
      <c r="IF43" s="884"/>
      <c r="IG43" s="884"/>
      <c r="IH43" s="884"/>
      <c r="II43" s="884"/>
      <c r="IJ43" s="884"/>
      <c r="IK43" s="884"/>
      <c r="IL43" s="884"/>
      <c r="IM43" s="884"/>
      <c r="IN43" s="884"/>
      <c r="IO43" s="884"/>
      <c r="IP43" s="884"/>
      <c r="IQ43" s="884"/>
      <c r="IR43" s="884"/>
      <c r="IS43" s="884"/>
      <c r="IT43" s="884"/>
      <c r="IU43" s="884"/>
      <c r="IV43" s="884"/>
    </row>
    <row r="44" spans="1:256" ht="75" customHeight="1" x14ac:dyDescent="0.2">
      <c r="A44" s="947"/>
      <c r="B44" s="948"/>
      <c r="C44" s="4019"/>
      <c r="D44" s="4020"/>
      <c r="E44" s="928"/>
      <c r="F44" s="929"/>
      <c r="G44" s="4030">
        <v>187</v>
      </c>
      <c r="H44" s="4014" t="s">
        <v>808</v>
      </c>
      <c r="I44" s="3985" t="s">
        <v>809</v>
      </c>
      <c r="J44" s="4040">
        <v>1</v>
      </c>
      <c r="K44" s="3988" t="s">
        <v>810</v>
      </c>
      <c r="L44" s="4057" t="s">
        <v>811</v>
      </c>
      <c r="M44" s="3980" t="s">
        <v>812</v>
      </c>
      <c r="N44" s="4054">
        <f>SUM(S44:S49)/O44</f>
        <v>0.33333333333333331</v>
      </c>
      <c r="O44" s="4008">
        <f>SUM(S44:S55)</f>
        <v>120000000</v>
      </c>
      <c r="P44" s="3980" t="s">
        <v>813</v>
      </c>
      <c r="Q44" s="3985" t="s">
        <v>814</v>
      </c>
      <c r="R44" s="952" t="s">
        <v>815</v>
      </c>
      <c r="S44" s="912">
        <v>10000000</v>
      </c>
      <c r="T44" s="2490" t="s">
        <v>61</v>
      </c>
      <c r="U44" s="2485" t="s">
        <v>357</v>
      </c>
      <c r="V44" s="4040">
        <v>2500</v>
      </c>
      <c r="W44" s="4058">
        <v>1500</v>
      </c>
      <c r="X44" s="4040"/>
      <c r="Y44" s="4040">
        <v>2500</v>
      </c>
      <c r="Z44" s="4040">
        <v>1500</v>
      </c>
      <c r="AA44" s="4040"/>
      <c r="AB44" s="4074"/>
      <c r="AC44" s="4040"/>
      <c r="AD44" s="4040"/>
      <c r="AE44" s="4040"/>
      <c r="AF44" s="4040"/>
      <c r="AG44" s="4040"/>
      <c r="AH44" s="4040"/>
      <c r="AI44" s="4040"/>
      <c r="AJ44" s="4040"/>
      <c r="AK44" s="4058">
        <v>4000</v>
      </c>
      <c r="AL44" s="4073">
        <v>43466</v>
      </c>
      <c r="AM44" s="4073">
        <v>43830</v>
      </c>
      <c r="AN44" s="4072" t="s">
        <v>817</v>
      </c>
      <c r="AS44" s="884"/>
    </row>
    <row r="45" spans="1:256" ht="30" x14ac:dyDescent="0.2">
      <c r="A45" s="947"/>
      <c r="B45" s="948"/>
      <c r="C45" s="4019"/>
      <c r="D45" s="4020"/>
      <c r="E45" s="931"/>
      <c r="F45" s="932"/>
      <c r="G45" s="4031"/>
      <c r="H45" s="4015"/>
      <c r="I45" s="3986"/>
      <c r="J45" s="4041"/>
      <c r="K45" s="3989"/>
      <c r="L45" s="4057"/>
      <c r="M45" s="3980"/>
      <c r="N45" s="4055"/>
      <c r="O45" s="4008"/>
      <c r="P45" s="3980"/>
      <c r="Q45" s="3986"/>
      <c r="R45" s="952" t="s">
        <v>818</v>
      </c>
      <c r="S45" s="912">
        <v>8000000</v>
      </c>
      <c r="T45" s="2490" t="s">
        <v>61</v>
      </c>
      <c r="U45" s="2485" t="s">
        <v>357</v>
      </c>
      <c r="V45" s="4041"/>
      <c r="W45" s="4059"/>
      <c r="X45" s="4041"/>
      <c r="Y45" s="4041"/>
      <c r="Z45" s="4041"/>
      <c r="AA45" s="4041"/>
      <c r="AB45" s="4075"/>
      <c r="AC45" s="4041"/>
      <c r="AD45" s="4041"/>
      <c r="AE45" s="4041"/>
      <c r="AF45" s="4041"/>
      <c r="AG45" s="4041"/>
      <c r="AH45" s="4041"/>
      <c r="AI45" s="4041"/>
      <c r="AJ45" s="4041"/>
      <c r="AK45" s="4041"/>
      <c r="AL45" s="4073"/>
      <c r="AM45" s="4073"/>
      <c r="AN45" s="4072"/>
      <c r="AS45" s="884"/>
    </row>
    <row r="46" spans="1:256" ht="30" x14ac:dyDescent="0.2">
      <c r="A46" s="947"/>
      <c r="B46" s="948"/>
      <c r="C46" s="4019"/>
      <c r="D46" s="4020"/>
      <c r="E46" s="931"/>
      <c r="F46" s="932"/>
      <c r="G46" s="4031"/>
      <c r="H46" s="4015"/>
      <c r="I46" s="3986"/>
      <c r="J46" s="4041"/>
      <c r="K46" s="3989"/>
      <c r="L46" s="4057"/>
      <c r="M46" s="3980"/>
      <c r="N46" s="4055"/>
      <c r="O46" s="4008"/>
      <c r="P46" s="3980"/>
      <c r="Q46" s="3986"/>
      <c r="R46" s="952" t="s">
        <v>819</v>
      </c>
      <c r="S46" s="912">
        <v>8000000</v>
      </c>
      <c r="T46" s="2490" t="s">
        <v>61</v>
      </c>
      <c r="U46" s="2485" t="s">
        <v>357</v>
      </c>
      <c r="V46" s="4041"/>
      <c r="W46" s="4059"/>
      <c r="X46" s="4041"/>
      <c r="Y46" s="4041"/>
      <c r="Z46" s="4041"/>
      <c r="AA46" s="4041"/>
      <c r="AB46" s="4075"/>
      <c r="AC46" s="4041"/>
      <c r="AD46" s="4041"/>
      <c r="AE46" s="4041"/>
      <c r="AF46" s="4041"/>
      <c r="AG46" s="4041"/>
      <c r="AH46" s="4041"/>
      <c r="AI46" s="4041"/>
      <c r="AJ46" s="4041"/>
      <c r="AK46" s="4041"/>
      <c r="AL46" s="4073"/>
      <c r="AM46" s="4073"/>
      <c r="AN46" s="4072"/>
      <c r="AS46" s="884"/>
    </row>
    <row r="47" spans="1:256" ht="45" x14ac:dyDescent="0.2">
      <c r="A47" s="947"/>
      <c r="B47" s="948"/>
      <c r="C47" s="4019"/>
      <c r="D47" s="4020"/>
      <c r="E47" s="931"/>
      <c r="F47" s="932"/>
      <c r="G47" s="4031"/>
      <c r="H47" s="4015"/>
      <c r="I47" s="3986"/>
      <c r="J47" s="4041"/>
      <c r="K47" s="3989"/>
      <c r="L47" s="4057"/>
      <c r="M47" s="3980"/>
      <c r="N47" s="4055"/>
      <c r="O47" s="4008"/>
      <c r="P47" s="3980"/>
      <c r="Q47" s="3986"/>
      <c r="R47" s="952" t="s">
        <v>820</v>
      </c>
      <c r="S47" s="912">
        <v>4000000</v>
      </c>
      <c r="T47" s="2490" t="s">
        <v>61</v>
      </c>
      <c r="U47" s="2485" t="s">
        <v>357</v>
      </c>
      <c r="V47" s="4041"/>
      <c r="W47" s="4059"/>
      <c r="X47" s="4041"/>
      <c r="Y47" s="4041"/>
      <c r="Z47" s="4041"/>
      <c r="AA47" s="4041"/>
      <c r="AB47" s="4075"/>
      <c r="AC47" s="4041"/>
      <c r="AD47" s="4041"/>
      <c r="AE47" s="4041"/>
      <c r="AF47" s="4041"/>
      <c r="AG47" s="4041"/>
      <c r="AH47" s="4041"/>
      <c r="AI47" s="4041"/>
      <c r="AJ47" s="4041"/>
      <c r="AK47" s="4041"/>
      <c r="AL47" s="4073"/>
      <c r="AM47" s="4073"/>
      <c r="AN47" s="4072"/>
      <c r="AS47" s="884"/>
    </row>
    <row r="48" spans="1:256" ht="46.5" customHeight="1" x14ac:dyDescent="0.2">
      <c r="A48" s="947"/>
      <c r="B48" s="948"/>
      <c r="C48" s="4019"/>
      <c r="D48" s="4020"/>
      <c r="E48" s="931"/>
      <c r="F48" s="932"/>
      <c r="G48" s="4031"/>
      <c r="H48" s="4015"/>
      <c r="I48" s="3986"/>
      <c r="J48" s="4041"/>
      <c r="K48" s="3989"/>
      <c r="L48" s="4057"/>
      <c r="M48" s="3980"/>
      <c r="N48" s="4055"/>
      <c r="O48" s="4008"/>
      <c r="P48" s="3980"/>
      <c r="Q48" s="3986"/>
      <c r="R48" s="952" t="s">
        <v>821</v>
      </c>
      <c r="S48" s="912">
        <v>9000000</v>
      </c>
      <c r="T48" s="2490" t="s">
        <v>61</v>
      </c>
      <c r="U48" s="2485" t="s">
        <v>357</v>
      </c>
      <c r="V48" s="4041"/>
      <c r="W48" s="4059"/>
      <c r="X48" s="4041"/>
      <c r="Y48" s="4041"/>
      <c r="Z48" s="4041"/>
      <c r="AA48" s="4041"/>
      <c r="AB48" s="4075"/>
      <c r="AC48" s="4041"/>
      <c r="AD48" s="4041"/>
      <c r="AE48" s="4041"/>
      <c r="AF48" s="4041"/>
      <c r="AG48" s="4041"/>
      <c r="AH48" s="4041"/>
      <c r="AI48" s="4041"/>
      <c r="AJ48" s="4041"/>
      <c r="AK48" s="4041"/>
      <c r="AL48" s="4073"/>
      <c r="AM48" s="4073"/>
      <c r="AN48" s="4072"/>
      <c r="AS48" s="884"/>
    </row>
    <row r="49" spans="1:283" ht="39.75" customHeight="1" x14ac:dyDescent="0.2">
      <c r="A49" s="947"/>
      <c r="B49" s="948"/>
      <c r="C49" s="4019"/>
      <c r="D49" s="4020"/>
      <c r="E49" s="931"/>
      <c r="F49" s="932"/>
      <c r="G49" s="4032"/>
      <c r="H49" s="4016"/>
      <c r="I49" s="3987"/>
      <c r="J49" s="4053"/>
      <c r="K49" s="3989"/>
      <c r="L49" s="4057"/>
      <c r="M49" s="3980"/>
      <c r="N49" s="4056"/>
      <c r="O49" s="4008"/>
      <c r="P49" s="3980"/>
      <c r="Q49" s="3987"/>
      <c r="R49" s="952" t="s">
        <v>822</v>
      </c>
      <c r="S49" s="912">
        <v>1000000</v>
      </c>
      <c r="T49" s="2490" t="s">
        <v>61</v>
      </c>
      <c r="U49" s="2485" t="s">
        <v>357</v>
      </c>
      <c r="V49" s="4041"/>
      <c r="W49" s="4059"/>
      <c r="X49" s="4041"/>
      <c r="Y49" s="4041"/>
      <c r="Z49" s="4041"/>
      <c r="AA49" s="4041"/>
      <c r="AB49" s="4075"/>
      <c r="AC49" s="4041"/>
      <c r="AD49" s="4041"/>
      <c r="AE49" s="4041"/>
      <c r="AF49" s="4041"/>
      <c r="AG49" s="4041"/>
      <c r="AH49" s="4041"/>
      <c r="AI49" s="4041"/>
      <c r="AJ49" s="4041"/>
      <c r="AK49" s="4041"/>
      <c r="AL49" s="4073"/>
      <c r="AM49" s="4073"/>
      <c r="AN49" s="4072"/>
      <c r="AS49" s="884"/>
    </row>
    <row r="50" spans="1:283" ht="60" x14ac:dyDescent="0.2">
      <c r="A50" s="947"/>
      <c r="B50" s="948"/>
      <c r="C50" s="4019"/>
      <c r="D50" s="4020"/>
      <c r="E50" s="931"/>
      <c r="F50" s="932"/>
      <c r="G50" s="4030">
        <v>188</v>
      </c>
      <c r="H50" s="3979" t="s">
        <v>823</v>
      </c>
      <c r="I50" s="3982" t="s">
        <v>824</v>
      </c>
      <c r="J50" s="4040">
        <v>2</v>
      </c>
      <c r="K50" s="3989"/>
      <c r="L50" s="4057"/>
      <c r="M50" s="3980"/>
      <c r="N50" s="4054">
        <f>SUM(S50:S52)/O44</f>
        <v>0.33333333333333331</v>
      </c>
      <c r="O50" s="4008"/>
      <c r="P50" s="3980"/>
      <c r="Q50" s="3985" t="s">
        <v>823</v>
      </c>
      <c r="R50" s="2498" t="s">
        <v>825</v>
      </c>
      <c r="S50" s="912">
        <v>30000000</v>
      </c>
      <c r="T50" s="2490" t="s">
        <v>61</v>
      </c>
      <c r="U50" s="2485" t="s">
        <v>357</v>
      </c>
      <c r="V50" s="4041"/>
      <c r="W50" s="4059"/>
      <c r="X50" s="4041"/>
      <c r="Y50" s="4041"/>
      <c r="Z50" s="4041"/>
      <c r="AA50" s="4041"/>
      <c r="AB50" s="4075"/>
      <c r="AC50" s="4041"/>
      <c r="AD50" s="4041"/>
      <c r="AE50" s="4041"/>
      <c r="AF50" s="4041"/>
      <c r="AG50" s="4041"/>
      <c r="AH50" s="4041"/>
      <c r="AI50" s="4041"/>
      <c r="AJ50" s="4041"/>
      <c r="AK50" s="4041"/>
      <c r="AL50" s="4073"/>
      <c r="AM50" s="4073"/>
      <c r="AN50" s="4072"/>
      <c r="AS50" s="884"/>
    </row>
    <row r="51" spans="1:283" ht="30" x14ac:dyDescent="0.2">
      <c r="A51" s="947"/>
      <c r="B51" s="948"/>
      <c r="C51" s="4019"/>
      <c r="D51" s="4020"/>
      <c r="E51" s="931"/>
      <c r="F51" s="932"/>
      <c r="G51" s="4031"/>
      <c r="H51" s="3980"/>
      <c r="I51" s="3983"/>
      <c r="J51" s="4041"/>
      <c r="K51" s="3989"/>
      <c r="L51" s="4057"/>
      <c r="M51" s="3980"/>
      <c r="N51" s="4055"/>
      <c r="O51" s="4008"/>
      <c r="P51" s="3980"/>
      <c r="Q51" s="3986"/>
      <c r="R51" s="2498" t="s">
        <v>826</v>
      </c>
      <c r="S51" s="912">
        <v>7000000</v>
      </c>
      <c r="T51" s="2490" t="s">
        <v>61</v>
      </c>
      <c r="U51" s="2485" t="s">
        <v>357</v>
      </c>
      <c r="V51" s="4041"/>
      <c r="W51" s="4059"/>
      <c r="X51" s="4041"/>
      <c r="Y51" s="4041"/>
      <c r="Z51" s="4041"/>
      <c r="AA51" s="4041"/>
      <c r="AB51" s="4075"/>
      <c r="AC51" s="4041"/>
      <c r="AD51" s="4041"/>
      <c r="AE51" s="4041"/>
      <c r="AF51" s="4041"/>
      <c r="AG51" s="4041"/>
      <c r="AH51" s="4041"/>
      <c r="AI51" s="4041"/>
      <c r="AJ51" s="4041"/>
      <c r="AK51" s="4041"/>
      <c r="AL51" s="4073"/>
      <c r="AM51" s="4073"/>
      <c r="AN51" s="4072"/>
      <c r="AS51" s="884"/>
    </row>
    <row r="52" spans="1:283" ht="30" x14ac:dyDescent="0.2">
      <c r="A52" s="947"/>
      <c r="B52" s="948"/>
      <c r="C52" s="4019"/>
      <c r="D52" s="4020"/>
      <c r="E52" s="931"/>
      <c r="F52" s="932"/>
      <c r="G52" s="4031"/>
      <c r="H52" s="3980"/>
      <c r="I52" s="3984"/>
      <c r="J52" s="4053"/>
      <c r="K52" s="3989"/>
      <c r="L52" s="4057"/>
      <c r="M52" s="3980"/>
      <c r="N52" s="4055"/>
      <c r="O52" s="4009"/>
      <c r="P52" s="3980"/>
      <c r="Q52" s="3986"/>
      <c r="R52" s="2498" t="s">
        <v>827</v>
      </c>
      <c r="S52" s="912">
        <v>3000000</v>
      </c>
      <c r="T52" s="2490" t="s">
        <v>61</v>
      </c>
      <c r="U52" s="2485" t="s">
        <v>357</v>
      </c>
      <c r="V52" s="4041"/>
      <c r="W52" s="4059"/>
      <c r="X52" s="4041"/>
      <c r="Y52" s="4041"/>
      <c r="Z52" s="4041"/>
      <c r="AA52" s="4041"/>
      <c r="AB52" s="4075"/>
      <c r="AC52" s="4041"/>
      <c r="AD52" s="4041"/>
      <c r="AE52" s="4041"/>
      <c r="AF52" s="4041"/>
      <c r="AG52" s="4041"/>
      <c r="AH52" s="4041"/>
      <c r="AI52" s="4041"/>
      <c r="AJ52" s="4041"/>
      <c r="AK52" s="4041"/>
      <c r="AL52" s="4029"/>
      <c r="AM52" s="4029"/>
      <c r="AN52" s="4072"/>
      <c r="AS52" s="884"/>
    </row>
    <row r="53" spans="1:283" ht="60" customHeight="1" x14ac:dyDescent="0.2">
      <c r="A53" s="947"/>
      <c r="B53" s="948"/>
      <c r="C53" s="4019"/>
      <c r="D53" s="4020"/>
      <c r="E53" s="931"/>
      <c r="F53" s="932"/>
      <c r="G53" s="4030">
        <v>189</v>
      </c>
      <c r="H53" s="3979" t="s">
        <v>828</v>
      </c>
      <c r="I53" s="3982" t="s">
        <v>829</v>
      </c>
      <c r="J53" s="4040">
        <v>1</v>
      </c>
      <c r="K53" s="3989"/>
      <c r="L53" s="4057"/>
      <c r="M53" s="3980"/>
      <c r="N53" s="4005">
        <f>SUM(S53:S55)/O44</f>
        <v>0.33333333333333331</v>
      </c>
      <c r="O53" s="4009"/>
      <c r="P53" s="3980"/>
      <c r="Q53" s="3982" t="s">
        <v>830</v>
      </c>
      <c r="R53" s="2496" t="s">
        <v>831</v>
      </c>
      <c r="S53" s="912">
        <v>32000000</v>
      </c>
      <c r="T53" s="2490" t="s">
        <v>61</v>
      </c>
      <c r="U53" s="2485" t="s">
        <v>357</v>
      </c>
      <c r="V53" s="4041"/>
      <c r="W53" s="4059"/>
      <c r="X53" s="4041"/>
      <c r="Y53" s="4041"/>
      <c r="Z53" s="4041"/>
      <c r="AA53" s="4041"/>
      <c r="AB53" s="4075"/>
      <c r="AC53" s="4041"/>
      <c r="AD53" s="4041"/>
      <c r="AE53" s="4041"/>
      <c r="AF53" s="4041"/>
      <c r="AG53" s="4041"/>
      <c r="AH53" s="4041"/>
      <c r="AI53" s="4041"/>
      <c r="AJ53" s="4041"/>
      <c r="AK53" s="4041"/>
      <c r="AL53" s="4029"/>
      <c r="AM53" s="4029"/>
      <c r="AN53" s="4072"/>
      <c r="AS53" s="884"/>
    </row>
    <row r="54" spans="1:283" ht="30" x14ac:dyDescent="0.2">
      <c r="A54" s="953"/>
      <c r="B54" s="954"/>
      <c r="C54" s="4019"/>
      <c r="D54" s="4020"/>
      <c r="E54" s="931"/>
      <c r="F54" s="932"/>
      <c r="G54" s="4031"/>
      <c r="H54" s="3980"/>
      <c r="I54" s="3983"/>
      <c r="J54" s="4041"/>
      <c r="K54" s="3989"/>
      <c r="L54" s="4057"/>
      <c r="M54" s="3980"/>
      <c r="N54" s="4006"/>
      <c r="O54" s="4009"/>
      <c r="P54" s="3980"/>
      <c r="Q54" s="3983"/>
      <c r="R54" s="2496" t="s">
        <v>832</v>
      </c>
      <c r="S54" s="912">
        <v>4000000</v>
      </c>
      <c r="T54" s="2490" t="s">
        <v>61</v>
      </c>
      <c r="U54" s="2485" t="s">
        <v>357</v>
      </c>
      <c r="V54" s="4041"/>
      <c r="W54" s="4059"/>
      <c r="X54" s="4041"/>
      <c r="Y54" s="4041"/>
      <c r="Z54" s="4041"/>
      <c r="AA54" s="4041"/>
      <c r="AB54" s="4075"/>
      <c r="AC54" s="4041"/>
      <c r="AD54" s="4041"/>
      <c r="AE54" s="4041"/>
      <c r="AF54" s="4041"/>
      <c r="AG54" s="4041"/>
      <c r="AH54" s="4041"/>
      <c r="AI54" s="4041"/>
      <c r="AJ54" s="4041"/>
      <c r="AK54" s="4041"/>
      <c r="AL54" s="4029"/>
      <c r="AM54" s="4029"/>
      <c r="AN54" s="4072"/>
      <c r="AS54" s="884"/>
    </row>
    <row r="55" spans="1:283" ht="30" x14ac:dyDescent="0.2">
      <c r="A55" s="953"/>
      <c r="B55" s="954"/>
      <c r="C55" s="4021"/>
      <c r="D55" s="4022"/>
      <c r="E55" s="931"/>
      <c r="F55" s="932"/>
      <c r="G55" s="4031"/>
      <c r="H55" s="3980"/>
      <c r="I55" s="3983"/>
      <c r="J55" s="4041"/>
      <c r="K55" s="3989"/>
      <c r="L55" s="4057"/>
      <c r="M55" s="3980"/>
      <c r="N55" s="4006"/>
      <c r="O55" s="4009"/>
      <c r="P55" s="3980"/>
      <c r="Q55" s="3983"/>
      <c r="R55" s="2496" t="s">
        <v>833</v>
      </c>
      <c r="S55" s="912">
        <v>4000000</v>
      </c>
      <c r="T55" s="2490" t="s">
        <v>61</v>
      </c>
      <c r="U55" s="2485" t="s">
        <v>357</v>
      </c>
      <c r="V55" s="4041"/>
      <c r="W55" s="4059"/>
      <c r="X55" s="4041"/>
      <c r="Y55" s="4041"/>
      <c r="Z55" s="4041"/>
      <c r="AA55" s="4041"/>
      <c r="AB55" s="4075"/>
      <c r="AC55" s="4041"/>
      <c r="AD55" s="4041"/>
      <c r="AE55" s="4041"/>
      <c r="AF55" s="4041"/>
      <c r="AG55" s="4041"/>
      <c r="AH55" s="4041"/>
      <c r="AI55" s="4041"/>
      <c r="AJ55" s="4041"/>
      <c r="AK55" s="4041"/>
      <c r="AL55" s="4029"/>
      <c r="AM55" s="4029"/>
      <c r="AN55" s="4072"/>
      <c r="AS55" s="884"/>
    </row>
    <row r="56" spans="1:283" x14ac:dyDescent="0.2">
      <c r="A56" s="953"/>
      <c r="B56" s="954"/>
      <c r="C56" s="955">
        <v>16</v>
      </c>
      <c r="D56" s="956" t="s">
        <v>727</v>
      </c>
      <c r="E56" s="957"/>
      <c r="F56" s="957"/>
      <c r="G56" s="957"/>
      <c r="H56" s="958"/>
      <c r="I56" s="958"/>
      <c r="J56" s="957"/>
      <c r="K56" s="957"/>
      <c r="L56" s="957"/>
      <c r="M56" s="958"/>
      <c r="N56" s="959"/>
      <c r="O56" s="960"/>
      <c r="P56" s="958"/>
      <c r="Q56" s="958"/>
      <c r="R56" s="958"/>
      <c r="S56" s="958"/>
      <c r="T56" s="4559"/>
      <c r="U56" s="4559"/>
      <c r="V56" s="957"/>
      <c r="W56" s="957"/>
      <c r="X56" s="957"/>
      <c r="Y56" s="957"/>
      <c r="Z56" s="957"/>
      <c r="AA56" s="957"/>
      <c r="AB56" s="957"/>
      <c r="AC56" s="957"/>
      <c r="AD56" s="957"/>
      <c r="AE56" s="957"/>
      <c r="AF56" s="957"/>
      <c r="AG56" s="957"/>
      <c r="AH56" s="957"/>
      <c r="AI56" s="957"/>
      <c r="AJ56" s="957"/>
      <c r="AK56" s="957"/>
      <c r="AL56" s="957"/>
      <c r="AM56" s="957"/>
      <c r="AN56" s="961"/>
    </row>
    <row r="57" spans="1:283" x14ac:dyDescent="0.2">
      <c r="A57" s="953"/>
      <c r="B57" s="954"/>
      <c r="C57" s="4060"/>
      <c r="D57" s="4061"/>
      <c r="E57" s="962">
        <v>61</v>
      </c>
      <c r="F57" s="963" t="s">
        <v>834</v>
      </c>
      <c r="G57" s="964"/>
      <c r="H57" s="965"/>
      <c r="I57" s="965"/>
      <c r="J57" s="964"/>
      <c r="K57" s="964"/>
      <c r="L57" s="964"/>
      <c r="M57" s="966"/>
      <c r="N57" s="967"/>
      <c r="O57" s="968"/>
      <c r="P57" s="965"/>
      <c r="Q57" s="965"/>
      <c r="R57" s="965"/>
      <c r="S57" s="965"/>
      <c r="T57" s="4560"/>
      <c r="U57" s="4560"/>
      <c r="V57" s="964"/>
      <c r="W57" s="964"/>
      <c r="X57" s="964"/>
      <c r="Y57" s="964"/>
      <c r="Z57" s="964"/>
      <c r="AA57" s="964"/>
      <c r="AB57" s="964"/>
      <c r="AC57" s="964"/>
      <c r="AD57" s="964"/>
      <c r="AE57" s="964"/>
      <c r="AF57" s="964"/>
      <c r="AG57" s="964"/>
      <c r="AH57" s="964"/>
      <c r="AI57" s="964"/>
      <c r="AJ57" s="964"/>
      <c r="AK57" s="964"/>
      <c r="AL57" s="964"/>
      <c r="AM57" s="964"/>
      <c r="AN57" s="969"/>
    </row>
    <row r="58" spans="1:283" ht="30" x14ac:dyDescent="0.2">
      <c r="A58" s="953"/>
      <c r="B58" s="954"/>
      <c r="C58" s="4062"/>
      <c r="D58" s="4063"/>
      <c r="E58" s="970"/>
      <c r="F58" s="971"/>
      <c r="G58" s="2769">
        <v>190</v>
      </c>
      <c r="H58" s="4066" t="s">
        <v>835</v>
      </c>
      <c r="I58" s="4066" t="s">
        <v>836</v>
      </c>
      <c r="J58" s="4068">
        <v>1</v>
      </c>
      <c r="K58" s="4070" t="s">
        <v>837</v>
      </c>
      <c r="L58" s="4078" t="s">
        <v>838</v>
      </c>
      <c r="M58" s="4080" t="s">
        <v>839</v>
      </c>
      <c r="N58" s="4082">
        <f>SUM(S58:S73)/O58</f>
        <v>1</v>
      </c>
      <c r="O58" s="4084">
        <f>SUM(S58:S73)</f>
        <v>190000000</v>
      </c>
      <c r="P58" s="4086" t="s">
        <v>840</v>
      </c>
      <c r="Q58" s="2638" t="s">
        <v>841</v>
      </c>
      <c r="R58" s="972" t="s">
        <v>842</v>
      </c>
      <c r="S58" s="912">
        <v>5280000</v>
      </c>
      <c r="T58" s="2490" t="s">
        <v>61</v>
      </c>
      <c r="U58" s="2485" t="s">
        <v>357</v>
      </c>
      <c r="V58" s="4076">
        <v>1500</v>
      </c>
      <c r="W58" s="4076">
        <v>1500</v>
      </c>
      <c r="X58" s="4076">
        <v>480</v>
      </c>
      <c r="Y58" s="4076">
        <v>480</v>
      </c>
      <c r="Z58" s="4076">
        <v>1000</v>
      </c>
      <c r="AA58" s="4076">
        <v>1000</v>
      </c>
      <c r="AB58" s="4076">
        <v>20</v>
      </c>
      <c r="AC58" s="4076">
        <v>20</v>
      </c>
      <c r="AD58" s="4076"/>
      <c r="AE58" s="4076"/>
      <c r="AF58" s="4076"/>
      <c r="AG58" s="4076"/>
      <c r="AH58" s="4076">
        <v>3000</v>
      </c>
      <c r="AI58" s="4095"/>
      <c r="AJ58" s="4095"/>
      <c r="AK58" s="4095">
        <f>SUM(V58:W73)</f>
        <v>3000</v>
      </c>
      <c r="AL58" s="4088">
        <v>43467</v>
      </c>
      <c r="AM58" s="4088">
        <v>43830</v>
      </c>
      <c r="AN58" s="2638" t="s">
        <v>843</v>
      </c>
    </row>
    <row r="59" spans="1:283" ht="30" x14ac:dyDescent="0.2">
      <c r="A59" s="953"/>
      <c r="B59" s="954"/>
      <c r="C59" s="4062"/>
      <c r="D59" s="4063"/>
      <c r="E59" s="973"/>
      <c r="F59" s="971"/>
      <c r="G59" s="2771"/>
      <c r="H59" s="4067"/>
      <c r="I59" s="4067"/>
      <c r="J59" s="4069"/>
      <c r="K59" s="4071"/>
      <c r="L59" s="4079"/>
      <c r="M59" s="4081"/>
      <c r="N59" s="4083"/>
      <c r="O59" s="4085"/>
      <c r="P59" s="4087"/>
      <c r="Q59" s="2638"/>
      <c r="R59" s="972" t="s">
        <v>844</v>
      </c>
      <c r="S59" s="912">
        <v>5000000</v>
      </c>
      <c r="T59" s="2490" t="s">
        <v>61</v>
      </c>
      <c r="U59" s="2485" t="s">
        <v>357</v>
      </c>
      <c r="V59" s="4076"/>
      <c r="W59" s="4076"/>
      <c r="X59" s="4076"/>
      <c r="Y59" s="4076"/>
      <c r="Z59" s="4076"/>
      <c r="AA59" s="4076"/>
      <c r="AB59" s="4076"/>
      <c r="AC59" s="4076"/>
      <c r="AD59" s="4076"/>
      <c r="AE59" s="4076"/>
      <c r="AF59" s="4076"/>
      <c r="AG59" s="4076"/>
      <c r="AH59" s="4076"/>
      <c r="AI59" s="4095"/>
      <c r="AJ59" s="4095"/>
      <c r="AK59" s="4095"/>
      <c r="AL59" s="4088"/>
      <c r="AM59" s="4088"/>
      <c r="AN59" s="2638"/>
    </row>
    <row r="60" spans="1:283" ht="30" x14ac:dyDescent="0.2">
      <c r="A60" s="953"/>
      <c r="B60" s="954"/>
      <c r="C60" s="4062"/>
      <c r="D60" s="4063"/>
      <c r="E60" s="973"/>
      <c r="F60" s="971"/>
      <c r="G60" s="2771"/>
      <c r="H60" s="4067"/>
      <c r="I60" s="4067"/>
      <c r="J60" s="4069"/>
      <c r="K60" s="4071"/>
      <c r="L60" s="4079"/>
      <c r="M60" s="4081"/>
      <c r="N60" s="4083"/>
      <c r="O60" s="4085"/>
      <c r="P60" s="4087"/>
      <c r="Q60" s="2638"/>
      <c r="R60" s="972" t="s">
        <v>845</v>
      </c>
      <c r="S60" s="912">
        <v>4000000</v>
      </c>
      <c r="T60" s="2490" t="s">
        <v>61</v>
      </c>
      <c r="U60" s="2485" t="s">
        <v>357</v>
      </c>
      <c r="V60" s="4076"/>
      <c r="W60" s="4076"/>
      <c r="X60" s="4076"/>
      <c r="Y60" s="4076"/>
      <c r="Z60" s="4076"/>
      <c r="AA60" s="4076"/>
      <c r="AB60" s="4076"/>
      <c r="AC60" s="4076"/>
      <c r="AD60" s="4076"/>
      <c r="AE60" s="4076"/>
      <c r="AF60" s="4076"/>
      <c r="AG60" s="4076"/>
      <c r="AH60" s="4076"/>
      <c r="AI60" s="4095"/>
      <c r="AJ60" s="4095"/>
      <c r="AK60" s="4095"/>
      <c r="AL60" s="4088"/>
      <c r="AM60" s="4088"/>
      <c r="AN60" s="2638"/>
    </row>
    <row r="61" spans="1:283" ht="57" x14ac:dyDescent="0.2">
      <c r="A61" s="953"/>
      <c r="B61" s="954"/>
      <c r="C61" s="4062"/>
      <c r="D61" s="4063"/>
      <c r="E61" s="973"/>
      <c r="F61" s="971"/>
      <c r="G61" s="2771"/>
      <c r="H61" s="4067"/>
      <c r="I61" s="4067"/>
      <c r="J61" s="4069"/>
      <c r="K61" s="4071"/>
      <c r="L61" s="4079"/>
      <c r="M61" s="4081"/>
      <c r="N61" s="4083"/>
      <c r="O61" s="4085"/>
      <c r="P61" s="4087"/>
      <c r="Q61" s="2638" t="s">
        <v>846</v>
      </c>
      <c r="R61" s="972" t="s">
        <v>847</v>
      </c>
      <c r="S61" s="912">
        <f>22000000-2299000</f>
        <v>19701000</v>
      </c>
      <c r="T61" s="2490" t="s">
        <v>61</v>
      </c>
      <c r="U61" s="2485" t="s">
        <v>357</v>
      </c>
      <c r="V61" s="4076"/>
      <c r="W61" s="4076"/>
      <c r="X61" s="4076"/>
      <c r="Y61" s="4076"/>
      <c r="Z61" s="4076"/>
      <c r="AA61" s="4076"/>
      <c r="AB61" s="4076"/>
      <c r="AC61" s="4076"/>
      <c r="AD61" s="4076"/>
      <c r="AE61" s="4076"/>
      <c r="AF61" s="4076"/>
      <c r="AG61" s="4076"/>
      <c r="AH61" s="4076"/>
      <c r="AI61" s="4095"/>
      <c r="AJ61" s="4095"/>
      <c r="AK61" s="4095"/>
      <c r="AL61" s="4088"/>
      <c r="AM61" s="4088"/>
      <c r="AN61" s="2638"/>
    </row>
    <row r="62" spans="1:283" ht="30" x14ac:dyDescent="0.2">
      <c r="A62" s="953"/>
      <c r="B62" s="954"/>
      <c r="C62" s="4062"/>
      <c r="D62" s="4063"/>
      <c r="E62" s="973"/>
      <c r="F62" s="971"/>
      <c r="G62" s="2771"/>
      <c r="H62" s="4067"/>
      <c r="I62" s="4067"/>
      <c r="J62" s="4069"/>
      <c r="K62" s="4071"/>
      <c r="L62" s="4079"/>
      <c r="M62" s="4081"/>
      <c r="N62" s="4083"/>
      <c r="O62" s="4085"/>
      <c r="P62" s="4087"/>
      <c r="Q62" s="2638"/>
      <c r="R62" s="972" t="s">
        <v>848</v>
      </c>
      <c r="S62" s="912">
        <f>13010000-5000000</f>
        <v>8010000</v>
      </c>
      <c r="T62" s="2490" t="s">
        <v>61</v>
      </c>
      <c r="U62" s="2485" t="s">
        <v>357</v>
      </c>
      <c r="V62" s="4076"/>
      <c r="W62" s="4076"/>
      <c r="X62" s="4076"/>
      <c r="Y62" s="4076"/>
      <c r="Z62" s="4076"/>
      <c r="AA62" s="4076"/>
      <c r="AB62" s="4076"/>
      <c r="AC62" s="4076"/>
      <c r="AD62" s="4076"/>
      <c r="AE62" s="4076"/>
      <c r="AF62" s="4076"/>
      <c r="AG62" s="4076"/>
      <c r="AH62" s="4076"/>
      <c r="AI62" s="4095"/>
      <c r="AJ62" s="4095"/>
      <c r="AK62" s="4095"/>
      <c r="AL62" s="4088"/>
      <c r="AM62" s="4088"/>
      <c r="AN62" s="2638"/>
    </row>
    <row r="63" spans="1:283" s="883" customFormat="1" ht="57" x14ac:dyDescent="0.2">
      <c r="A63" s="953"/>
      <c r="B63" s="954"/>
      <c r="C63" s="4062"/>
      <c r="D63" s="4063"/>
      <c r="E63" s="973"/>
      <c r="F63" s="971"/>
      <c r="G63" s="2771"/>
      <c r="H63" s="4067"/>
      <c r="I63" s="4067"/>
      <c r="J63" s="4069"/>
      <c r="K63" s="4071"/>
      <c r="L63" s="4079"/>
      <c r="M63" s="4081"/>
      <c r="N63" s="4083"/>
      <c r="O63" s="4085"/>
      <c r="P63" s="4087"/>
      <c r="Q63" s="2638"/>
      <c r="R63" s="972" t="s">
        <v>849</v>
      </c>
      <c r="S63" s="912">
        <v>6000000</v>
      </c>
      <c r="T63" s="2490" t="s">
        <v>61</v>
      </c>
      <c r="U63" s="2485" t="s">
        <v>357</v>
      </c>
      <c r="V63" s="4076"/>
      <c r="W63" s="4076"/>
      <c r="X63" s="4076"/>
      <c r="Y63" s="4076"/>
      <c r="Z63" s="4076"/>
      <c r="AA63" s="4076"/>
      <c r="AB63" s="4076"/>
      <c r="AC63" s="4076"/>
      <c r="AD63" s="4076"/>
      <c r="AE63" s="4076"/>
      <c r="AF63" s="4076"/>
      <c r="AG63" s="4076"/>
      <c r="AH63" s="4076"/>
      <c r="AI63" s="4095"/>
      <c r="AJ63" s="4095"/>
      <c r="AK63" s="4095"/>
      <c r="AL63" s="4088"/>
      <c r="AM63" s="4088"/>
      <c r="AN63" s="2638"/>
      <c r="AT63" s="884"/>
      <c r="AU63" s="884"/>
      <c r="AV63" s="884"/>
      <c r="AW63" s="884"/>
      <c r="AX63" s="884"/>
      <c r="AY63" s="884"/>
      <c r="AZ63" s="884"/>
      <c r="BA63" s="884"/>
      <c r="BB63" s="884"/>
      <c r="BC63" s="884"/>
      <c r="BD63" s="884"/>
      <c r="BE63" s="884"/>
      <c r="BF63" s="884"/>
      <c r="BG63" s="884"/>
      <c r="BH63" s="884"/>
      <c r="BI63" s="884"/>
      <c r="BJ63" s="884"/>
      <c r="BK63" s="884"/>
      <c r="BL63" s="884"/>
      <c r="BM63" s="884"/>
      <c r="BN63" s="884"/>
      <c r="BO63" s="884"/>
      <c r="BP63" s="884"/>
      <c r="BQ63" s="884"/>
      <c r="BR63" s="884"/>
      <c r="BS63" s="884"/>
      <c r="BT63" s="884"/>
      <c r="BU63" s="884"/>
      <c r="BV63" s="884"/>
      <c r="BW63" s="884"/>
      <c r="BX63" s="884"/>
      <c r="BY63" s="884"/>
      <c r="BZ63" s="884"/>
      <c r="CA63" s="884"/>
      <c r="CB63" s="884"/>
      <c r="CC63" s="884"/>
      <c r="CD63" s="884"/>
      <c r="CE63" s="884"/>
      <c r="CF63" s="884"/>
      <c r="CG63" s="884"/>
      <c r="CH63" s="884"/>
      <c r="CI63" s="884"/>
      <c r="CJ63" s="884"/>
      <c r="CK63" s="884"/>
      <c r="CL63" s="884"/>
      <c r="CM63" s="884"/>
      <c r="CN63" s="884"/>
      <c r="CO63" s="884"/>
      <c r="CP63" s="884"/>
      <c r="CQ63" s="884"/>
      <c r="CR63" s="884"/>
      <c r="CS63" s="884"/>
      <c r="CT63" s="884"/>
      <c r="CU63" s="884"/>
      <c r="CV63" s="884"/>
      <c r="CW63" s="884"/>
      <c r="CX63" s="884"/>
      <c r="CY63" s="884"/>
      <c r="CZ63" s="884"/>
      <c r="DA63" s="884"/>
      <c r="DB63" s="884"/>
      <c r="DC63" s="884"/>
      <c r="DD63" s="884"/>
      <c r="DE63" s="884"/>
      <c r="DF63" s="884"/>
      <c r="DG63" s="884"/>
      <c r="DH63" s="884"/>
      <c r="DI63" s="884"/>
      <c r="DJ63" s="884"/>
      <c r="DK63" s="884"/>
      <c r="DL63" s="884"/>
      <c r="DM63" s="884"/>
      <c r="DN63" s="884"/>
      <c r="DO63" s="884"/>
      <c r="DP63" s="884"/>
      <c r="DQ63" s="884"/>
      <c r="DR63" s="884"/>
      <c r="DS63" s="884"/>
      <c r="DT63" s="884"/>
      <c r="DU63" s="884"/>
      <c r="DV63" s="884"/>
      <c r="DW63" s="884"/>
      <c r="DX63" s="884"/>
      <c r="DY63" s="884"/>
      <c r="DZ63" s="884"/>
      <c r="EA63" s="884"/>
      <c r="EB63" s="884"/>
      <c r="EC63" s="884"/>
      <c r="ED63" s="884"/>
      <c r="EE63" s="884"/>
      <c r="EF63" s="884"/>
      <c r="EG63" s="884"/>
      <c r="EH63" s="884"/>
      <c r="EI63" s="884"/>
      <c r="EJ63" s="884"/>
      <c r="EK63" s="884"/>
      <c r="EL63" s="884"/>
      <c r="EM63" s="884"/>
      <c r="EN63" s="884"/>
      <c r="EO63" s="884"/>
      <c r="EP63" s="884"/>
      <c r="EQ63" s="884"/>
      <c r="ER63" s="884"/>
      <c r="ES63" s="884"/>
      <c r="ET63" s="884"/>
      <c r="EU63" s="884"/>
      <c r="EV63" s="884"/>
      <c r="EW63" s="884"/>
      <c r="EX63" s="884"/>
      <c r="EY63" s="884"/>
      <c r="EZ63" s="884"/>
      <c r="FA63" s="884"/>
      <c r="FB63" s="884"/>
      <c r="FC63" s="884"/>
      <c r="FD63" s="884"/>
      <c r="FE63" s="884"/>
      <c r="FF63" s="884"/>
      <c r="FG63" s="884"/>
      <c r="FH63" s="884"/>
      <c r="FI63" s="884"/>
      <c r="FJ63" s="884"/>
      <c r="FK63" s="884"/>
      <c r="FL63" s="884"/>
      <c r="FM63" s="884"/>
      <c r="FN63" s="884"/>
      <c r="FO63" s="884"/>
      <c r="FP63" s="884"/>
      <c r="FQ63" s="884"/>
      <c r="FR63" s="884"/>
      <c r="FS63" s="884"/>
      <c r="FT63" s="884"/>
      <c r="FU63" s="884"/>
      <c r="FV63" s="884"/>
      <c r="FW63" s="884"/>
      <c r="FX63" s="884"/>
      <c r="FY63" s="884"/>
      <c r="FZ63" s="884"/>
      <c r="GA63" s="884"/>
      <c r="GB63" s="884"/>
      <c r="GC63" s="884"/>
      <c r="GD63" s="884"/>
      <c r="GE63" s="884"/>
      <c r="GF63" s="884"/>
      <c r="GG63" s="884"/>
      <c r="GH63" s="884"/>
      <c r="GI63" s="884"/>
      <c r="GJ63" s="884"/>
      <c r="GK63" s="884"/>
      <c r="GL63" s="884"/>
      <c r="GM63" s="884"/>
      <c r="GN63" s="884"/>
      <c r="GO63" s="884"/>
      <c r="GP63" s="884"/>
      <c r="GQ63" s="884"/>
      <c r="GR63" s="884"/>
      <c r="GS63" s="884"/>
      <c r="GT63" s="884"/>
      <c r="GU63" s="884"/>
      <c r="GV63" s="884"/>
      <c r="GW63" s="884"/>
      <c r="GX63" s="884"/>
      <c r="GY63" s="884"/>
      <c r="GZ63" s="884"/>
      <c r="HA63" s="884"/>
      <c r="HB63" s="884"/>
      <c r="HC63" s="884"/>
      <c r="HD63" s="884"/>
      <c r="HE63" s="884"/>
      <c r="HF63" s="884"/>
      <c r="HG63" s="884"/>
      <c r="HH63" s="884"/>
      <c r="HI63" s="884"/>
      <c r="HJ63" s="884"/>
      <c r="HK63" s="884"/>
      <c r="HL63" s="884"/>
      <c r="HM63" s="884"/>
      <c r="HN63" s="884"/>
      <c r="HO63" s="884"/>
      <c r="HP63" s="884"/>
      <c r="HQ63" s="884"/>
      <c r="HR63" s="884"/>
      <c r="HS63" s="884"/>
      <c r="HT63" s="884"/>
      <c r="HU63" s="884"/>
      <c r="HV63" s="884"/>
      <c r="HW63" s="884"/>
      <c r="HX63" s="884"/>
      <c r="HY63" s="884"/>
      <c r="HZ63" s="884"/>
      <c r="IA63" s="884"/>
      <c r="IB63" s="884"/>
      <c r="IC63" s="884"/>
      <c r="ID63" s="884"/>
      <c r="IE63" s="884"/>
      <c r="IF63" s="884"/>
      <c r="IG63" s="884"/>
      <c r="IH63" s="884"/>
      <c r="II63" s="884"/>
      <c r="IJ63" s="884"/>
      <c r="IK63" s="884"/>
      <c r="IL63" s="884"/>
      <c r="IM63" s="884"/>
      <c r="IN63" s="884"/>
      <c r="IO63" s="884"/>
      <c r="IP63" s="884"/>
      <c r="IQ63" s="884"/>
      <c r="IR63" s="884"/>
      <c r="IS63" s="884"/>
      <c r="IT63" s="884"/>
      <c r="IU63" s="884"/>
      <c r="IV63" s="884"/>
      <c r="IW63" s="884"/>
      <c r="IX63" s="884"/>
      <c r="IY63" s="884"/>
      <c r="IZ63" s="884"/>
      <c r="JA63" s="884"/>
      <c r="JB63" s="884"/>
      <c r="JC63" s="884"/>
      <c r="JD63" s="884"/>
      <c r="JE63" s="884"/>
      <c r="JF63" s="884"/>
      <c r="JG63" s="884"/>
      <c r="JH63" s="884"/>
      <c r="JI63" s="884"/>
      <c r="JJ63" s="884"/>
      <c r="JK63" s="884"/>
      <c r="JL63" s="884"/>
      <c r="JM63" s="884"/>
      <c r="JN63" s="884"/>
      <c r="JO63" s="884"/>
      <c r="JP63" s="884"/>
      <c r="JQ63" s="884"/>
      <c r="JR63" s="884"/>
      <c r="JS63" s="884"/>
      <c r="JT63" s="884"/>
      <c r="JU63" s="884"/>
      <c r="JV63" s="884"/>
      <c r="JW63" s="884"/>
    </row>
    <row r="64" spans="1:283" s="883" customFormat="1" ht="30" x14ac:dyDescent="0.2">
      <c r="A64" s="953"/>
      <c r="B64" s="954"/>
      <c r="C64" s="4062"/>
      <c r="D64" s="4063"/>
      <c r="E64" s="973"/>
      <c r="F64" s="971"/>
      <c r="G64" s="2771"/>
      <c r="H64" s="4067"/>
      <c r="I64" s="4067"/>
      <c r="J64" s="4069"/>
      <c r="K64" s="4071"/>
      <c r="L64" s="4079"/>
      <c r="M64" s="4081"/>
      <c r="N64" s="4083"/>
      <c r="O64" s="4085"/>
      <c r="P64" s="4087"/>
      <c r="Q64" s="2638"/>
      <c r="R64" s="972" t="s">
        <v>850</v>
      </c>
      <c r="S64" s="912">
        <f>12580000-2580000</f>
        <v>10000000</v>
      </c>
      <c r="T64" s="2490" t="s">
        <v>61</v>
      </c>
      <c r="U64" s="2485" t="s">
        <v>357</v>
      </c>
      <c r="V64" s="4076"/>
      <c r="W64" s="4076"/>
      <c r="X64" s="4076"/>
      <c r="Y64" s="4076"/>
      <c r="Z64" s="4076"/>
      <c r="AA64" s="4076"/>
      <c r="AB64" s="4076"/>
      <c r="AC64" s="4076"/>
      <c r="AD64" s="4076"/>
      <c r="AE64" s="4076"/>
      <c r="AF64" s="4076"/>
      <c r="AG64" s="4076"/>
      <c r="AH64" s="4076"/>
      <c r="AI64" s="4095"/>
      <c r="AJ64" s="4095"/>
      <c r="AK64" s="4095"/>
      <c r="AL64" s="4088"/>
      <c r="AM64" s="4088"/>
      <c r="AN64" s="2638"/>
      <c r="AT64" s="884"/>
      <c r="AU64" s="884"/>
      <c r="AV64" s="884"/>
      <c r="AW64" s="884"/>
      <c r="AX64" s="884"/>
      <c r="AY64" s="884"/>
      <c r="AZ64" s="884"/>
      <c r="BA64" s="884"/>
      <c r="BB64" s="884"/>
      <c r="BC64" s="884"/>
      <c r="BD64" s="884"/>
      <c r="BE64" s="884"/>
      <c r="BF64" s="884"/>
      <c r="BG64" s="884"/>
      <c r="BH64" s="884"/>
      <c r="BI64" s="884"/>
      <c r="BJ64" s="884"/>
      <c r="BK64" s="884"/>
      <c r="BL64" s="884"/>
      <c r="BM64" s="884"/>
      <c r="BN64" s="884"/>
      <c r="BO64" s="884"/>
      <c r="BP64" s="884"/>
      <c r="BQ64" s="884"/>
      <c r="BR64" s="884"/>
      <c r="BS64" s="884"/>
      <c r="BT64" s="884"/>
      <c r="BU64" s="884"/>
      <c r="BV64" s="884"/>
      <c r="BW64" s="884"/>
      <c r="BX64" s="884"/>
      <c r="BY64" s="884"/>
      <c r="BZ64" s="884"/>
      <c r="CA64" s="884"/>
      <c r="CB64" s="884"/>
      <c r="CC64" s="884"/>
      <c r="CD64" s="884"/>
      <c r="CE64" s="884"/>
      <c r="CF64" s="884"/>
      <c r="CG64" s="884"/>
      <c r="CH64" s="884"/>
      <c r="CI64" s="884"/>
      <c r="CJ64" s="884"/>
      <c r="CK64" s="884"/>
      <c r="CL64" s="884"/>
      <c r="CM64" s="884"/>
      <c r="CN64" s="884"/>
      <c r="CO64" s="884"/>
      <c r="CP64" s="884"/>
      <c r="CQ64" s="884"/>
      <c r="CR64" s="884"/>
      <c r="CS64" s="884"/>
      <c r="CT64" s="884"/>
      <c r="CU64" s="884"/>
      <c r="CV64" s="884"/>
      <c r="CW64" s="884"/>
      <c r="CX64" s="884"/>
      <c r="CY64" s="884"/>
      <c r="CZ64" s="884"/>
      <c r="DA64" s="884"/>
      <c r="DB64" s="884"/>
      <c r="DC64" s="884"/>
      <c r="DD64" s="884"/>
      <c r="DE64" s="884"/>
      <c r="DF64" s="884"/>
      <c r="DG64" s="884"/>
      <c r="DH64" s="884"/>
      <c r="DI64" s="884"/>
      <c r="DJ64" s="884"/>
      <c r="DK64" s="884"/>
      <c r="DL64" s="884"/>
      <c r="DM64" s="884"/>
      <c r="DN64" s="884"/>
      <c r="DO64" s="884"/>
      <c r="DP64" s="884"/>
      <c r="DQ64" s="884"/>
      <c r="DR64" s="884"/>
      <c r="DS64" s="884"/>
      <c r="DT64" s="884"/>
      <c r="DU64" s="884"/>
      <c r="DV64" s="884"/>
      <c r="DW64" s="884"/>
      <c r="DX64" s="884"/>
      <c r="DY64" s="884"/>
      <c r="DZ64" s="884"/>
      <c r="EA64" s="884"/>
      <c r="EB64" s="884"/>
      <c r="EC64" s="884"/>
      <c r="ED64" s="884"/>
      <c r="EE64" s="884"/>
      <c r="EF64" s="884"/>
      <c r="EG64" s="884"/>
      <c r="EH64" s="884"/>
      <c r="EI64" s="884"/>
      <c r="EJ64" s="884"/>
      <c r="EK64" s="884"/>
      <c r="EL64" s="884"/>
      <c r="EM64" s="884"/>
      <c r="EN64" s="884"/>
      <c r="EO64" s="884"/>
      <c r="EP64" s="884"/>
      <c r="EQ64" s="884"/>
      <c r="ER64" s="884"/>
      <c r="ES64" s="884"/>
      <c r="ET64" s="884"/>
      <c r="EU64" s="884"/>
      <c r="EV64" s="884"/>
      <c r="EW64" s="884"/>
      <c r="EX64" s="884"/>
      <c r="EY64" s="884"/>
      <c r="EZ64" s="884"/>
      <c r="FA64" s="884"/>
      <c r="FB64" s="884"/>
      <c r="FC64" s="884"/>
      <c r="FD64" s="884"/>
      <c r="FE64" s="884"/>
      <c r="FF64" s="884"/>
      <c r="FG64" s="884"/>
      <c r="FH64" s="884"/>
      <c r="FI64" s="884"/>
      <c r="FJ64" s="884"/>
      <c r="FK64" s="884"/>
      <c r="FL64" s="884"/>
      <c r="FM64" s="884"/>
      <c r="FN64" s="884"/>
      <c r="FO64" s="884"/>
      <c r="FP64" s="884"/>
      <c r="FQ64" s="884"/>
      <c r="FR64" s="884"/>
      <c r="FS64" s="884"/>
      <c r="FT64" s="884"/>
      <c r="FU64" s="884"/>
      <c r="FV64" s="884"/>
      <c r="FW64" s="884"/>
      <c r="FX64" s="884"/>
      <c r="FY64" s="884"/>
      <c r="FZ64" s="884"/>
      <c r="GA64" s="884"/>
      <c r="GB64" s="884"/>
      <c r="GC64" s="884"/>
      <c r="GD64" s="884"/>
      <c r="GE64" s="884"/>
      <c r="GF64" s="884"/>
      <c r="GG64" s="884"/>
      <c r="GH64" s="884"/>
      <c r="GI64" s="884"/>
      <c r="GJ64" s="884"/>
      <c r="GK64" s="884"/>
      <c r="GL64" s="884"/>
      <c r="GM64" s="884"/>
      <c r="GN64" s="884"/>
      <c r="GO64" s="884"/>
      <c r="GP64" s="884"/>
      <c r="GQ64" s="884"/>
      <c r="GR64" s="884"/>
      <c r="GS64" s="884"/>
      <c r="GT64" s="884"/>
      <c r="GU64" s="884"/>
      <c r="GV64" s="884"/>
      <c r="GW64" s="884"/>
      <c r="GX64" s="884"/>
      <c r="GY64" s="884"/>
      <c r="GZ64" s="884"/>
      <c r="HA64" s="884"/>
      <c r="HB64" s="884"/>
      <c r="HC64" s="884"/>
      <c r="HD64" s="884"/>
      <c r="HE64" s="884"/>
      <c r="HF64" s="884"/>
      <c r="HG64" s="884"/>
      <c r="HH64" s="884"/>
      <c r="HI64" s="884"/>
      <c r="HJ64" s="884"/>
      <c r="HK64" s="884"/>
      <c r="HL64" s="884"/>
      <c r="HM64" s="884"/>
      <c r="HN64" s="884"/>
      <c r="HO64" s="884"/>
      <c r="HP64" s="884"/>
      <c r="HQ64" s="884"/>
      <c r="HR64" s="884"/>
      <c r="HS64" s="884"/>
      <c r="HT64" s="884"/>
      <c r="HU64" s="884"/>
      <c r="HV64" s="884"/>
      <c r="HW64" s="884"/>
      <c r="HX64" s="884"/>
      <c r="HY64" s="884"/>
      <c r="HZ64" s="884"/>
      <c r="IA64" s="884"/>
      <c r="IB64" s="884"/>
      <c r="IC64" s="884"/>
      <c r="ID64" s="884"/>
      <c r="IE64" s="884"/>
      <c r="IF64" s="884"/>
      <c r="IG64" s="884"/>
      <c r="IH64" s="884"/>
      <c r="II64" s="884"/>
      <c r="IJ64" s="884"/>
      <c r="IK64" s="884"/>
      <c r="IL64" s="884"/>
      <c r="IM64" s="884"/>
      <c r="IN64" s="884"/>
      <c r="IO64" s="884"/>
      <c r="IP64" s="884"/>
      <c r="IQ64" s="884"/>
      <c r="IR64" s="884"/>
      <c r="IS64" s="884"/>
      <c r="IT64" s="884"/>
      <c r="IU64" s="884"/>
      <c r="IV64" s="884"/>
      <c r="IW64" s="884"/>
      <c r="IX64" s="884"/>
      <c r="IY64" s="884"/>
      <c r="IZ64" s="884"/>
      <c r="JA64" s="884"/>
      <c r="JB64" s="884"/>
      <c r="JC64" s="884"/>
      <c r="JD64" s="884"/>
      <c r="JE64" s="884"/>
      <c r="JF64" s="884"/>
      <c r="JG64" s="884"/>
      <c r="JH64" s="884"/>
      <c r="JI64" s="884"/>
      <c r="JJ64" s="884"/>
      <c r="JK64" s="884"/>
      <c r="JL64" s="884"/>
      <c r="JM64" s="884"/>
      <c r="JN64" s="884"/>
      <c r="JO64" s="884"/>
      <c r="JP64" s="884"/>
      <c r="JQ64" s="884"/>
      <c r="JR64" s="884"/>
      <c r="JS64" s="884"/>
      <c r="JT64" s="884"/>
      <c r="JU64" s="884"/>
      <c r="JV64" s="884"/>
      <c r="JW64" s="884"/>
    </row>
    <row r="65" spans="1:283" s="883" customFormat="1" ht="30" x14ac:dyDescent="0.2">
      <c r="A65" s="953"/>
      <c r="B65" s="954"/>
      <c r="C65" s="4062"/>
      <c r="D65" s="4063"/>
      <c r="E65" s="973"/>
      <c r="F65" s="971"/>
      <c r="G65" s="2771"/>
      <c r="H65" s="4067"/>
      <c r="I65" s="4067"/>
      <c r="J65" s="4069"/>
      <c r="K65" s="4071"/>
      <c r="L65" s="4079"/>
      <c r="M65" s="4081"/>
      <c r="N65" s="4083"/>
      <c r="O65" s="4085"/>
      <c r="P65" s="4087"/>
      <c r="Q65" s="2638"/>
      <c r="R65" s="972" t="s">
        <v>851</v>
      </c>
      <c r="S65" s="912">
        <f>5000000+25959000</f>
        <v>30959000</v>
      </c>
      <c r="T65" s="2490" t="s">
        <v>61</v>
      </c>
      <c r="U65" s="2485" t="s">
        <v>357</v>
      </c>
      <c r="V65" s="4076"/>
      <c r="W65" s="4076"/>
      <c r="X65" s="4076"/>
      <c r="Y65" s="4076"/>
      <c r="Z65" s="4076"/>
      <c r="AA65" s="4076"/>
      <c r="AB65" s="4076"/>
      <c r="AC65" s="4076"/>
      <c r="AD65" s="4076"/>
      <c r="AE65" s="4076"/>
      <c r="AF65" s="4076"/>
      <c r="AG65" s="4076"/>
      <c r="AH65" s="4076"/>
      <c r="AI65" s="4095"/>
      <c r="AJ65" s="4095"/>
      <c r="AK65" s="4095"/>
      <c r="AL65" s="4088"/>
      <c r="AM65" s="4088"/>
      <c r="AN65" s="2638"/>
      <c r="AT65" s="884"/>
      <c r="AU65" s="884"/>
      <c r="AV65" s="884"/>
      <c r="AW65" s="884"/>
      <c r="AX65" s="884"/>
      <c r="AY65" s="884"/>
      <c r="AZ65" s="884"/>
      <c r="BA65" s="884"/>
      <c r="BB65" s="884"/>
      <c r="BC65" s="884"/>
      <c r="BD65" s="884"/>
      <c r="BE65" s="884"/>
      <c r="BF65" s="884"/>
      <c r="BG65" s="884"/>
      <c r="BH65" s="884"/>
      <c r="BI65" s="884"/>
      <c r="BJ65" s="884"/>
      <c r="BK65" s="884"/>
      <c r="BL65" s="884"/>
      <c r="BM65" s="884"/>
      <c r="BN65" s="884"/>
      <c r="BO65" s="884"/>
      <c r="BP65" s="884"/>
      <c r="BQ65" s="884"/>
      <c r="BR65" s="884"/>
      <c r="BS65" s="884"/>
      <c r="BT65" s="884"/>
      <c r="BU65" s="884"/>
      <c r="BV65" s="884"/>
      <c r="BW65" s="884"/>
      <c r="BX65" s="884"/>
      <c r="BY65" s="884"/>
      <c r="BZ65" s="884"/>
      <c r="CA65" s="884"/>
      <c r="CB65" s="884"/>
      <c r="CC65" s="884"/>
      <c r="CD65" s="884"/>
      <c r="CE65" s="884"/>
      <c r="CF65" s="884"/>
      <c r="CG65" s="884"/>
      <c r="CH65" s="884"/>
      <c r="CI65" s="884"/>
      <c r="CJ65" s="884"/>
      <c r="CK65" s="884"/>
      <c r="CL65" s="884"/>
      <c r="CM65" s="884"/>
      <c r="CN65" s="884"/>
      <c r="CO65" s="884"/>
      <c r="CP65" s="884"/>
      <c r="CQ65" s="884"/>
      <c r="CR65" s="884"/>
      <c r="CS65" s="884"/>
      <c r="CT65" s="884"/>
      <c r="CU65" s="884"/>
      <c r="CV65" s="884"/>
      <c r="CW65" s="884"/>
      <c r="CX65" s="884"/>
      <c r="CY65" s="884"/>
      <c r="CZ65" s="884"/>
      <c r="DA65" s="884"/>
      <c r="DB65" s="884"/>
      <c r="DC65" s="884"/>
      <c r="DD65" s="884"/>
      <c r="DE65" s="884"/>
      <c r="DF65" s="884"/>
      <c r="DG65" s="884"/>
      <c r="DH65" s="884"/>
      <c r="DI65" s="884"/>
      <c r="DJ65" s="884"/>
      <c r="DK65" s="884"/>
      <c r="DL65" s="884"/>
      <c r="DM65" s="884"/>
      <c r="DN65" s="884"/>
      <c r="DO65" s="884"/>
      <c r="DP65" s="884"/>
      <c r="DQ65" s="884"/>
      <c r="DR65" s="884"/>
      <c r="DS65" s="884"/>
      <c r="DT65" s="884"/>
      <c r="DU65" s="884"/>
      <c r="DV65" s="884"/>
      <c r="DW65" s="884"/>
      <c r="DX65" s="884"/>
      <c r="DY65" s="884"/>
      <c r="DZ65" s="884"/>
      <c r="EA65" s="884"/>
      <c r="EB65" s="884"/>
      <c r="EC65" s="884"/>
      <c r="ED65" s="884"/>
      <c r="EE65" s="884"/>
      <c r="EF65" s="884"/>
      <c r="EG65" s="884"/>
      <c r="EH65" s="884"/>
      <c r="EI65" s="884"/>
      <c r="EJ65" s="884"/>
      <c r="EK65" s="884"/>
      <c r="EL65" s="884"/>
      <c r="EM65" s="884"/>
      <c r="EN65" s="884"/>
      <c r="EO65" s="884"/>
      <c r="EP65" s="884"/>
      <c r="EQ65" s="884"/>
      <c r="ER65" s="884"/>
      <c r="ES65" s="884"/>
      <c r="ET65" s="884"/>
      <c r="EU65" s="884"/>
      <c r="EV65" s="884"/>
      <c r="EW65" s="884"/>
      <c r="EX65" s="884"/>
      <c r="EY65" s="884"/>
      <c r="EZ65" s="884"/>
      <c r="FA65" s="884"/>
      <c r="FB65" s="884"/>
      <c r="FC65" s="884"/>
      <c r="FD65" s="884"/>
      <c r="FE65" s="884"/>
      <c r="FF65" s="884"/>
      <c r="FG65" s="884"/>
      <c r="FH65" s="884"/>
      <c r="FI65" s="884"/>
      <c r="FJ65" s="884"/>
      <c r="FK65" s="884"/>
      <c r="FL65" s="884"/>
      <c r="FM65" s="884"/>
      <c r="FN65" s="884"/>
      <c r="FO65" s="884"/>
      <c r="FP65" s="884"/>
      <c r="FQ65" s="884"/>
      <c r="FR65" s="884"/>
      <c r="FS65" s="884"/>
      <c r="FT65" s="884"/>
      <c r="FU65" s="884"/>
      <c r="FV65" s="884"/>
      <c r="FW65" s="884"/>
      <c r="FX65" s="884"/>
      <c r="FY65" s="884"/>
      <c r="FZ65" s="884"/>
      <c r="GA65" s="884"/>
      <c r="GB65" s="884"/>
      <c r="GC65" s="884"/>
      <c r="GD65" s="884"/>
      <c r="GE65" s="884"/>
      <c r="GF65" s="884"/>
      <c r="GG65" s="884"/>
      <c r="GH65" s="884"/>
      <c r="GI65" s="884"/>
      <c r="GJ65" s="884"/>
      <c r="GK65" s="884"/>
      <c r="GL65" s="884"/>
      <c r="GM65" s="884"/>
      <c r="GN65" s="884"/>
      <c r="GO65" s="884"/>
      <c r="GP65" s="884"/>
      <c r="GQ65" s="884"/>
      <c r="GR65" s="884"/>
      <c r="GS65" s="884"/>
      <c r="GT65" s="884"/>
      <c r="GU65" s="884"/>
      <c r="GV65" s="884"/>
      <c r="GW65" s="884"/>
      <c r="GX65" s="884"/>
      <c r="GY65" s="884"/>
      <c r="GZ65" s="884"/>
      <c r="HA65" s="884"/>
      <c r="HB65" s="884"/>
      <c r="HC65" s="884"/>
      <c r="HD65" s="884"/>
      <c r="HE65" s="884"/>
      <c r="HF65" s="884"/>
      <c r="HG65" s="884"/>
      <c r="HH65" s="884"/>
      <c r="HI65" s="884"/>
      <c r="HJ65" s="884"/>
      <c r="HK65" s="884"/>
      <c r="HL65" s="884"/>
      <c r="HM65" s="884"/>
      <c r="HN65" s="884"/>
      <c r="HO65" s="884"/>
      <c r="HP65" s="884"/>
      <c r="HQ65" s="884"/>
      <c r="HR65" s="884"/>
      <c r="HS65" s="884"/>
      <c r="HT65" s="884"/>
      <c r="HU65" s="884"/>
      <c r="HV65" s="884"/>
      <c r="HW65" s="884"/>
      <c r="HX65" s="884"/>
      <c r="HY65" s="884"/>
      <c r="HZ65" s="884"/>
      <c r="IA65" s="884"/>
      <c r="IB65" s="884"/>
      <c r="IC65" s="884"/>
      <c r="ID65" s="884"/>
      <c r="IE65" s="884"/>
      <c r="IF65" s="884"/>
      <c r="IG65" s="884"/>
      <c r="IH65" s="884"/>
      <c r="II65" s="884"/>
      <c r="IJ65" s="884"/>
      <c r="IK65" s="884"/>
      <c r="IL65" s="884"/>
      <c r="IM65" s="884"/>
      <c r="IN65" s="884"/>
      <c r="IO65" s="884"/>
      <c r="IP65" s="884"/>
      <c r="IQ65" s="884"/>
      <c r="IR65" s="884"/>
      <c r="IS65" s="884"/>
      <c r="IT65" s="884"/>
      <c r="IU65" s="884"/>
      <c r="IV65" s="884"/>
      <c r="IW65" s="884"/>
      <c r="IX65" s="884"/>
      <c r="IY65" s="884"/>
      <c r="IZ65" s="884"/>
      <c r="JA65" s="884"/>
      <c r="JB65" s="884"/>
      <c r="JC65" s="884"/>
      <c r="JD65" s="884"/>
      <c r="JE65" s="884"/>
      <c r="JF65" s="884"/>
      <c r="JG65" s="884"/>
      <c r="JH65" s="884"/>
      <c r="JI65" s="884"/>
      <c r="JJ65" s="884"/>
      <c r="JK65" s="884"/>
      <c r="JL65" s="884"/>
      <c r="JM65" s="884"/>
      <c r="JN65" s="884"/>
      <c r="JO65" s="884"/>
      <c r="JP65" s="884"/>
      <c r="JQ65" s="884"/>
      <c r="JR65" s="884"/>
      <c r="JS65" s="884"/>
      <c r="JT65" s="884"/>
      <c r="JU65" s="884"/>
      <c r="JV65" s="884"/>
      <c r="JW65" s="884"/>
    </row>
    <row r="66" spans="1:283" s="883" customFormat="1" ht="42.75" x14ac:dyDescent="0.2">
      <c r="A66" s="953"/>
      <c r="B66" s="954"/>
      <c r="C66" s="4062"/>
      <c r="D66" s="4063"/>
      <c r="E66" s="973"/>
      <c r="F66" s="971"/>
      <c r="G66" s="2771"/>
      <c r="H66" s="4067"/>
      <c r="I66" s="4067"/>
      <c r="J66" s="4069"/>
      <c r="K66" s="4071"/>
      <c r="L66" s="4079"/>
      <c r="M66" s="4081"/>
      <c r="N66" s="4083"/>
      <c r="O66" s="4085"/>
      <c r="P66" s="4087"/>
      <c r="Q66" s="2638"/>
      <c r="R66" s="972" t="s">
        <v>852</v>
      </c>
      <c r="S66" s="912">
        <v>7920000</v>
      </c>
      <c r="T66" s="2490" t="s">
        <v>61</v>
      </c>
      <c r="U66" s="2485" t="s">
        <v>357</v>
      </c>
      <c r="V66" s="4076"/>
      <c r="W66" s="4076"/>
      <c r="X66" s="4076"/>
      <c r="Y66" s="4076"/>
      <c r="Z66" s="4076"/>
      <c r="AA66" s="4076"/>
      <c r="AB66" s="4076"/>
      <c r="AC66" s="4076"/>
      <c r="AD66" s="4076"/>
      <c r="AE66" s="4076"/>
      <c r="AF66" s="4076"/>
      <c r="AG66" s="4076"/>
      <c r="AH66" s="4076"/>
      <c r="AI66" s="4095"/>
      <c r="AJ66" s="4095"/>
      <c r="AK66" s="4095"/>
      <c r="AL66" s="4088"/>
      <c r="AM66" s="4088"/>
      <c r="AN66" s="2638"/>
      <c r="AT66" s="884"/>
      <c r="AU66" s="884"/>
      <c r="AV66" s="884"/>
      <c r="AW66" s="884"/>
      <c r="AX66" s="884"/>
      <c r="AY66" s="884"/>
      <c r="AZ66" s="884"/>
      <c r="BA66" s="884"/>
      <c r="BB66" s="884"/>
      <c r="BC66" s="884"/>
      <c r="BD66" s="884"/>
      <c r="BE66" s="884"/>
      <c r="BF66" s="884"/>
      <c r="BG66" s="884"/>
      <c r="BH66" s="884"/>
      <c r="BI66" s="884"/>
      <c r="BJ66" s="884"/>
      <c r="BK66" s="884"/>
      <c r="BL66" s="884"/>
      <c r="BM66" s="884"/>
      <c r="BN66" s="884"/>
      <c r="BO66" s="884"/>
      <c r="BP66" s="884"/>
      <c r="BQ66" s="884"/>
      <c r="BR66" s="884"/>
      <c r="BS66" s="884"/>
      <c r="BT66" s="884"/>
      <c r="BU66" s="884"/>
      <c r="BV66" s="884"/>
      <c r="BW66" s="884"/>
      <c r="BX66" s="884"/>
      <c r="BY66" s="884"/>
      <c r="BZ66" s="884"/>
      <c r="CA66" s="884"/>
      <c r="CB66" s="884"/>
      <c r="CC66" s="884"/>
      <c r="CD66" s="884"/>
      <c r="CE66" s="884"/>
      <c r="CF66" s="884"/>
      <c r="CG66" s="884"/>
      <c r="CH66" s="884"/>
      <c r="CI66" s="884"/>
      <c r="CJ66" s="884"/>
      <c r="CK66" s="884"/>
      <c r="CL66" s="884"/>
      <c r="CM66" s="884"/>
      <c r="CN66" s="884"/>
      <c r="CO66" s="884"/>
      <c r="CP66" s="884"/>
      <c r="CQ66" s="884"/>
      <c r="CR66" s="884"/>
      <c r="CS66" s="884"/>
      <c r="CT66" s="884"/>
      <c r="CU66" s="884"/>
      <c r="CV66" s="884"/>
      <c r="CW66" s="884"/>
      <c r="CX66" s="884"/>
      <c r="CY66" s="884"/>
      <c r="CZ66" s="884"/>
      <c r="DA66" s="884"/>
      <c r="DB66" s="884"/>
      <c r="DC66" s="884"/>
      <c r="DD66" s="884"/>
      <c r="DE66" s="884"/>
      <c r="DF66" s="884"/>
      <c r="DG66" s="884"/>
      <c r="DH66" s="884"/>
      <c r="DI66" s="884"/>
      <c r="DJ66" s="884"/>
      <c r="DK66" s="884"/>
      <c r="DL66" s="884"/>
      <c r="DM66" s="884"/>
      <c r="DN66" s="884"/>
      <c r="DO66" s="884"/>
      <c r="DP66" s="884"/>
      <c r="DQ66" s="884"/>
      <c r="DR66" s="884"/>
      <c r="DS66" s="884"/>
      <c r="DT66" s="884"/>
      <c r="DU66" s="884"/>
      <c r="DV66" s="884"/>
      <c r="DW66" s="884"/>
      <c r="DX66" s="884"/>
      <c r="DY66" s="884"/>
      <c r="DZ66" s="884"/>
      <c r="EA66" s="884"/>
      <c r="EB66" s="884"/>
      <c r="EC66" s="884"/>
      <c r="ED66" s="884"/>
      <c r="EE66" s="884"/>
      <c r="EF66" s="884"/>
      <c r="EG66" s="884"/>
      <c r="EH66" s="884"/>
      <c r="EI66" s="884"/>
      <c r="EJ66" s="884"/>
      <c r="EK66" s="884"/>
      <c r="EL66" s="884"/>
      <c r="EM66" s="884"/>
      <c r="EN66" s="884"/>
      <c r="EO66" s="884"/>
      <c r="EP66" s="884"/>
      <c r="EQ66" s="884"/>
      <c r="ER66" s="884"/>
      <c r="ES66" s="884"/>
      <c r="ET66" s="884"/>
      <c r="EU66" s="884"/>
      <c r="EV66" s="884"/>
      <c r="EW66" s="884"/>
      <c r="EX66" s="884"/>
      <c r="EY66" s="884"/>
      <c r="EZ66" s="884"/>
      <c r="FA66" s="884"/>
      <c r="FB66" s="884"/>
      <c r="FC66" s="884"/>
      <c r="FD66" s="884"/>
      <c r="FE66" s="884"/>
      <c r="FF66" s="884"/>
      <c r="FG66" s="884"/>
      <c r="FH66" s="884"/>
      <c r="FI66" s="884"/>
      <c r="FJ66" s="884"/>
      <c r="FK66" s="884"/>
      <c r="FL66" s="884"/>
      <c r="FM66" s="884"/>
      <c r="FN66" s="884"/>
      <c r="FO66" s="884"/>
      <c r="FP66" s="884"/>
      <c r="FQ66" s="884"/>
      <c r="FR66" s="884"/>
      <c r="FS66" s="884"/>
      <c r="FT66" s="884"/>
      <c r="FU66" s="884"/>
      <c r="FV66" s="884"/>
      <c r="FW66" s="884"/>
      <c r="FX66" s="884"/>
      <c r="FY66" s="884"/>
      <c r="FZ66" s="884"/>
      <c r="GA66" s="884"/>
      <c r="GB66" s="884"/>
      <c r="GC66" s="884"/>
      <c r="GD66" s="884"/>
      <c r="GE66" s="884"/>
      <c r="GF66" s="884"/>
      <c r="GG66" s="884"/>
      <c r="GH66" s="884"/>
      <c r="GI66" s="884"/>
      <c r="GJ66" s="884"/>
      <c r="GK66" s="884"/>
      <c r="GL66" s="884"/>
      <c r="GM66" s="884"/>
      <c r="GN66" s="884"/>
      <c r="GO66" s="884"/>
      <c r="GP66" s="884"/>
      <c r="GQ66" s="884"/>
      <c r="GR66" s="884"/>
      <c r="GS66" s="884"/>
      <c r="GT66" s="884"/>
      <c r="GU66" s="884"/>
      <c r="GV66" s="884"/>
      <c r="GW66" s="884"/>
      <c r="GX66" s="884"/>
      <c r="GY66" s="884"/>
      <c r="GZ66" s="884"/>
      <c r="HA66" s="884"/>
      <c r="HB66" s="884"/>
      <c r="HC66" s="884"/>
      <c r="HD66" s="884"/>
      <c r="HE66" s="884"/>
      <c r="HF66" s="884"/>
      <c r="HG66" s="884"/>
      <c r="HH66" s="884"/>
      <c r="HI66" s="884"/>
      <c r="HJ66" s="884"/>
      <c r="HK66" s="884"/>
      <c r="HL66" s="884"/>
      <c r="HM66" s="884"/>
      <c r="HN66" s="884"/>
      <c r="HO66" s="884"/>
      <c r="HP66" s="884"/>
      <c r="HQ66" s="884"/>
      <c r="HR66" s="884"/>
      <c r="HS66" s="884"/>
      <c r="HT66" s="884"/>
      <c r="HU66" s="884"/>
      <c r="HV66" s="884"/>
      <c r="HW66" s="884"/>
      <c r="HX66" s="884"/>
      <c r="HY66" s="884"/>
      <c r="HZ66" s="884"/>
      <c r="IA66" s="884"/>
      <c r="IB66" s="884"/>
      <c r="IC66" s="884"/>
      <c r="ID66" s="884"/>
      <c r="IE66" s="884"/>
      <c r="IF66" s="884"/>
      <c r="IG66" s="884"/>
      <c r="IH66" s="884"/>
      <c r="II66" s="884"/>
      <c r="IJ66" s="884"/>
      <c r="IK66" s="884"/>
      <c r="IL66" s="884"/>
      <c r="IM66" s="884"/>
      <c r="IN66" s="884"/>
      <c r="IO66" s="884"/>
      <c r="IP66" s="884"/>
      <c r="IQ66" s="884"/>
      <c r="IR66" s="884"/>
      <c r="IS66" s="884"/>
      <c r="IT66" s="884"/>
      <c r="IU66" s="884"/>
      <c r="IV66" s="884"/>
      <c r="IW66" s="884"/>
      <c r="IX66" s="884"/>
      <c r="IY66" s="884"/>
      <c r="IZ66" s="884"/>
      <c r="JA66" s="884"/>
      <c r="JB66" s="884"/>
      <c r="JC66" s="884"/>
      <c r="JD66" s="884"/>
      <c r="JE66" s="884"/>
      <c r="JF66" s="884"/>
      <c r="JG66" s="884"/>
      <c r="JH66" s="884"/>
      <c r="JI66" s="884"/>
      <c r="JJ66" s="884"/>
      <c r="JK66" s="884"/>
      <c r="JL66" s="884"/>
      <c r="JM66" s="884"/>
      <c r="JN66" s="884"/>
      <c r="JO66" s="884"/>
      <c r="JP66" s="884"/>
      <c r="JQ66" s="884"/>
      <c r="JR66" s="884"/>
      <c r="JS66" s="884"/>
      <c r="JT66" s="884"/>
      <c r="JU66" s="884"/>
      <c r="JV66" s="884"/>
      <c r="JW66" s="884"/>
    </row>
    <row r="67" spans="1:283" s="883" customFormat="1" ht="42.75" x14ac:dyDescent="0.2">
      <c r="A67" s="953"/>
      <c r="B67" s="954"/>
      <c r="C67" s="4062"/>
      <c r="D67" s="4063"/>
      <c r="E67" s="973"/>
      <c r="F67" s="971"/>
      <c r="G67" s="2771"/>
      <c r="H67" s="4067"/>
      <c r="I67" s="4067"/>
      <c r="J67" s="4069"/>
      <c r="K67" s="4071"/>
      <c r="L67" s="4079"/>
      <c r="M67" s="4081"/>
      <c r="N67" s="4083"/>
      <c r="O67" s="4085"/>
      <c r="P67" s="4087"/>
      <c r="Q67" s="2638"/>
      <c r="R67" s="972" t="s">
        <v>853</v>
      </c>
      <c r="S67" s="912">
        <v>8320000</v>
      </c>
      <c r="T67" s="2490" t="s">
        <v>61</v>
      </c>
      <c r="U67" s="2485" t="s">
        <v>357</v>
      </c>
      <c r="V67" s="4076"/>
      <c r="W67" s="4076"/>
      <c r="X67" s="4076"/>
      <c r="Y67" s="4076"/>
      <c r="Z67" s="4076"/>
      <c r="AA67" s="4076"/>
      <c r="AB67" s="4076"/>
      <c r="AC67" s="4076"/>
      <c r="AD67" s="4076"/>
      <c r="AE67" s="4076"/>
      <c r="AF67" s="4076"/>
      <c r="AG67" s="4076"/>
      <c r="AH67" s="4076"/>
      <c r="AI67" s="4095"/>
      <c r="AJ67" s="4095"/>
      <c r="AK67" s="4095"/>
      <c r="AL67" s="4088"/>
      <c r="AM67" s="4088"/>
      <c r="AN67" s="2638"/>
      <c r="AT67" s="884"/>
      <c r="AU67" s="884"/>
      <c r="AV67" s="884"/>
      <c r="AW67" s="884"/>
      <c r="AX67" s="884"/>
      <c r="AY67" s="884"/>
      <c r="AZ67" s="884"/>
      <c r="BA67" s="884"/>
      <c r="BB67" s="884"/>
      <c r="BC67" s="884"/>
      <c r="BD67" s="884"/>
      <c r="BE67" s="884"/>
      <c r="BF67" s="884"/>
      <c r="BG67" s="884"/>
      <c r="BH67" s="884"/>
      <c r="BI67" s="884"/>
      <c r="BJ67" s="884"/>
      <c r="BK67" s="884"/>
      <c r="BL67" s="884"/>
      <c r="BM67" s="884"/>
      <c r="BN67" s="884"/>
      <c r="BO67" s="884"/>
      <c r="BP67" s="884"/>
      <c r="BQ67" s="884"/>
      <c r="BR67" s="884"/>
      <c r="BS67" s="884"/>
      <c r="BT67" s="884"/>
      <c r="BU67" s="884"/>
      <c r="BV67" s="884"/>
      <c r="BW67" s="884"/>
      <c r="BX67" s="884"/>
      <c r="BY67" s="884"/>
      <c r="BZ67" s="884"/>
      <c r="CA67" s="884"/>
      <c r="CB67" s="884"/>
      <c r="CC67" s="884"/>
      <c r="CD67" s="884"/>
      <c r="CE67" s="884"/>
      <c r="CF67" s="884"/>
      <c r="CG67" s="884"/>
      <c r="CH67" s="884"/>
      <c r="CI67" s="884"/>
      <c r="CJ67" s="884"/>
      <c r="CK67" s="884"/>
      <c r="CL67" s="884"/>
      <c r="CM67" s="884"/>
      <c r="CN67" s="884"/>
      <c r="CO67" s="884"/>
      <c r="CP67" s="884"/>
      <c r="CQ67" s="884"/>
      <c r="CR67" s="884"/>
      <c r="CS67" s="884"/>
      <c r="CT67" s="884"/>
      <c r="CU67" s="884"/>
      <c r="CV67" s="884"/>
      <c r="CW67" s="884"/>
      <c r="CX67" s="884"/>
      <c r="CY67" s="884"/>
      <c r="CZ67" s="884"/>
      <c r="DA67" s="884"/>
      <c r="DB67" s="884"/>
      <c r="DC67" s="884"/>
      <c r="DD67" s="884"/>
      <c r="DE67" s="884"/>
      <c r="DF67" s="884"/>
      <c r="DG67" s="884"/>
      <c r="DH67" s="884"/>
      <c r="DI67" s="884"/>
      <c r="DJ67" s="884"/>
      <c r="DK67" s="884"/>
      <c r="DL67" s="884"/>
      <c r="DM67" s="884"/>
      <c r="DN67" s="884"/>
      <c r="DO67" s="884"/>
      <c r="DP67" s="884"/>
      <c r="DQ67" s="884"/>
      <c r="DR67" s="884"/>
      <c r="DS67" s="884"/>
      <c r="DT67" s="884"/>
      <c r="DU67" s="884"/>
      <c r="DV67" s="884"/>
      <c r="DW67" s="884"/>
      <c r="DX67" s="884"/>
      <c r="DY67" s="884"/>
      <c r="DZ67" s="884"/>
      <c r="EA67" s="884"/>
      <c r="EB67" s="884"/>
      <c r="EC67" s="884"/>
      <c r="ED67" s="884"/>
      <c r="EE67" s="884"/>
      <c r="EF67" s="884"/>
      <c r="EG67" s="884"/>
      <c r="EH67" s="884"/>
      <c r="EI67" s="884"/>
      <c r="EJ67" s="884"/>
      <c r="EK67" s="884"/>
      <c r="EL67" s="884"/>
      <c r="EM67" s="884"/>
      <c r="EN67" s="884"/>
      <c r="EO67" s="884"/>
      <c r="EP67" s="884"/>
      <c r="EQ67" s="884"/>
      <c r="ER67" s="884"/>
      <c r="ES67" s="884"/>
      <c r="ET67" s="884"/>
      <c r="EU67" s="884"/>
      <c r="EV67" s="884"/>
      <c r="EW67" s="884"/>
      <c r="EX67" s="884"/>
      <c r="EY67" s="884"/>
      <c r="EZ67" s="884"/>
      <c r="FA67" s="884"/>
      <c r="FB67" s="884"/>
      <c r="FC67" s="884"/>
      <c r="FD67" s="884"/>
      <c r="FE67" s="884"/>
      <c r="FF67" s="884"/>
      <c r="FG67" s="884"/>
      <c r="FH67" s="884"/>
      <c r="FI67" s="884"/>
      <c r="FJ67" s="884"/>
      <c r="FK67" s="884"/>
      <c r="FL67" s="884"/>
      <c r="FM67" s="884"/>
      <c r="FN67" s="884"/>
      <c r="FO67" s="884"/>
      <c r="FP67" s="884"/>
      <c r="FQ67" s="884"/>
      <c r="FR67" s="884"/>
      <c r="FS67" s="884"/>
      <c r="FT67" s="884"/>
      <c r="FU67" s="884"/>
      <c r="FV67" s="884"/>
      <c r="FW67" s="884"/>
      <c r="FX67" s="884"/>
      <c r="FY67" s="884"/>
      <c r="FZ67" s="884"/>
      <c r="GA67" s="884"/>
      <c r="GB67" s="884"/>
      <c r="GC67" s="884"/>
      <c r="GD67" s="884"/>
      <c r="GE67" s="884"/>
      <c r="GF67" s="884"/>
      <c r="GG67" s="884"/>
      <c r="GH67" s="884"/>
      <c r="GI67" s="884"/>
      <c r="GJ67" s="884"/>
      <c r="GK67" s="884"/>
      <c r="GL67" s="884"/>
      <c r="GM67" s="884"/>
      <c r="GN67" s="884"/>
      <c r="GO67" s="884"/>
      <c r="GP67" s="884"/>
      <c r="GQ67" s="884"/>
      <c r="GR67" s="884"/>
      <c r="GS67" s="884"/>
      <c r="GT67" s="884"/>
      <c r="GU67" s="884"/>
      <c r="GV67" s="884"/>
      <c r="GW67" s="884"/>
      <c r="GX67" s="884"/>
      <c r="GY67" s="884"/>
      <c r="GZ67" s="884"/>
      <c r="HA67" s="884"/>
      <c r="HB67" s="884"/>
      <c r="HC67" s="884"/>
      <c r="HD67" s="884"/>
      <c r="HE67" s="884"/>
      <c r="HF67" s="884"/>
      <c r="HG67" s="884"/>
      <c r="HH67" s="884"/>
      <c r="HI67" s="884"/>
      <c r="HJ67" s="884"/>
      <c r="HK67" s="884"/>
      <c r="HL67" s="884"/>
      <c r="HM67" s="884"/>
      <c r="HN67" s="884"/>
      <c r="HO67" s="884"/>
      <c r="HP67" s="884"/>
      <c r="HQ67" s="884"/>
      <c r="HR67" s="884"/>
      <c r="HS67" s="884"/>
      <c r="HT67" s="884"/>
      <c r="HU67" s="884"/>
      <c r="HV67" s="884"/>
      <c r="HW67" s="884"/>
      <c r="HX67" s="884"/>
      <c r="HY67" s="884"/>
      <c r="HZ67" s="884"/>
      <c r="IA67" s="884"/>
      <c r="IB67" s="884"/>
      <c r="IC67" s="884"/>
      <c r="ID67" s="884"/>
      <c r="IE67" s="884"/>
      <c r="IF67" s="884"/>
      <c r="IG67" s="884"/>
      <c r="IH67" s="884"/>
      <c r="II67" s="884"/>
      <c r="IJ67" s="884"/>
      <c r="IK67" s="884"/>
      <c r="IL67" s="884"/>
      <c r="IM67" s="884"/>
      <c r="IN67" s="884"/>
      <c r="IO67" s="884"/>
      <c r="IP67" s="884"/>
      <c r="IQ67" s="884"/>
      <c r="IR67" s="884"/>
      <c r="IS67" s="884"/>
      <c r="IT67" s="884"/>
      <c r="IU67" s="884"/>
      <c r="IV67" s="884"/>
      <c r="IW67" s="884"/>
      <c r="IX67" s="884"/>
      <c r="IY67" s="884"/>
      <c r="IZ67" s="884"/>
      <c r="JA67" s="884"/>
      <c r="JB67" s="884"/>
      <c r="JC67" s="884"/>
      <c r="JD67" s="884"/>
      <c r="JE67" s="884"/>
      <c r="JF67" s="884"/>
      <c r="JG67" s="884"/>
      <c r="JH67" s="884"/>
      <c r="JI67" s="884"/>
      <c r="JJ67" s="884"/>
      <c r="JK67" s="884"/>
      <c r="JL67" s="884"/>
      <c r="JM67" s="884"/>
      <c r="JN67" s="884"/>
      <c r="JO67" s="884"/>
      <c r="JP67" s="884"/>
      <c r="JQ67" s="884"/>
      <c r="JR67" s="884"/>
      <c r="JS67" s="884"/>
      <c r="JT67" s="884"/>
      <c r="JU67" s="884"/>
      <c r="JV67" s="884"/>
      <c r="JW67" s="884"/>
    </row>
    <row r="68" spans="1:283" s="883" customFormat="1" ht="30" x14ac:dyDescent="0.2">
      <c r="A68" s="953"/>
      <c r="B68" s="954"/>
      <c r="C68" s="4062"/>
      <c r="D68" s="4063"/>
      <c r="E68" s="973"/>
      <c r="F68" s="971"/>
      <c r="G68" s="2771"/>
      <c r="H68" s="4067"/>
      <c r="I68" s="4067"/>
      <c r="J68" s="4069"/>
      <c r="K68" s="4071"/>
      <c r="L68" s="4079"/>
      <c r="M68" s="4081"/>
      <c r="N68" s="4083"/>
      <c r="O68" s="4085"/>
      <c r="P68" s="4087"/>
      <c r="Q68" s="2638"/>
      <c r="R68" s="911" t="s">
        <v>854</v>
      </c>
      <c r="S68" s="912">
        <v>10280000</v>
      </c>
      <c r="T68" s="2490" t="s">
        <v>61</v>
      </c>
      <c r="U68" s="2485" t="s">
        <v>357</v>
      </c>
      <c r="V68" s="4076"/>
      <c r="W68" s="4076"/>
      <c r="X68" s="4076"/>
      <c r="Y68" s="4076"/>
      <c r="Z68" s="4076"/>
      <c r="AA68" s="4076"/>
      <c r="AB68" s="4076"/>
      <c r="AC68" s="4076"/>
      <c r="AD68" s="4076"/>
      <c r="AE68" s="4076"/>
      <c r="AF68" s="4076"/>
      <c r="AG68" s="4076"/>
      <c r="AH68" s="4076"/>
      <c r="AI68" s="4095"/>
      <c r="AJ68" s="4095"/>
      <c r="AK68" s="4095"/>
      <c r="AL68" s="4088"/>
      <c r="AM68" s="4088"/>
      <c r="AN68" s="2638"/>
      <c r="AT68" s="884"/>
      <c r="AU68" s="884"/>
      <c r="AV68" s="884"/>
      <c r="AW68" s="884"/>
      <c r="AX68" s="884"/>
      <c r="AY68" s="884"/>
      <c r="AZ68" s="884"/>
      <c r="BA68" s="884"/>
      <c r="BB68" s="884"/>
      <c r="BC68" s="884"/>
      <c r="BD68" s="884"/>
      <c r="BE68" s="884"/>
      <c r="BF68" s="884"/>
      <c r="BG68" s="884"/>
      <c r="BH68" s="884"/>
      <c r="BI68" s="884"/>
      <c r="BJ68" s="884"/>
      <c r="BK68" s="884"/>
      <c r="BL68" s="884"/>
      <c r="BM68" s="884"/>
      <c r="BN68" s="884"/>
      <c r="BO68" s="884"/>
      <c r="BP68" s="884"/>
      <c r="BQ68" s="884"/>
      <c r="BR68" s="884"/>
      <c r="BS68" s="884"/>
      <c r="BT68" s="884"/>
      <c r="BU68" s="884"/>
      <c r="BV68" s="884"/>
      <c r="BW68" s="884"/>
      <c r="BX68" s="884"/>
      <c r="BY68" s="884"/>
      <c r="BZ68" s="884"/>
      <c r="CA68" s="884"/>
      <c r="CB68" s="884"/>
      <c r="CC68" s="884"/>
      <c r="CD68" s="884"/>
      <c r="CE68" s="884"/>
      <c r="CF68" s="884"/>
      <c r="CG68" s="884"/>
      <c r="CH68" s="884"/>
      <c r="CI68" s="884"/>
      <c r="CJ68" s="884"/>
      <c r="CK68" s="884"/>
      <c r="CL68" s="884"/>
      <c r="CM68" s="884"/>
      <c r="CN68" s="884"/>
      <c r="CO68" s="884"/>
      <c r="CP68" s="884"/>
      <c r="CQ68" s="884"/>
      <c r="CR68" s="884"/>
      <c r="CS68" s="884"/>
      <c r="CT68" s="884"/>
      <c r="CU68" s="884"/>
      <c r="CV68" s="884"/>
      <c r="CW68" s="884"/>
      <c r="CX68" s="884"/>
      <c r="CY68" s="884"/>
      <c r="CZ68" s="884"/>
      <c r="DA68" s="884"/>
      <c r="DB68" s="884"/>
      <c r="DC68" s="884"/>
      <c r="DD68" s="884"/>
      <c r="DE68" s="884"/>
      <c r="DF68" s="884"/>
      <c r="DG68" s="884"/>
      <c r="DH68" s="884"/>
      <c r="DI68" s="884"/>
      <c r="DJ68" s="884"/>
      <c r="DK68" s="884"/>
      <c r="DL68" s="884"/>
      <c r="DM68" s="884"/>
      <c r="DN68" s="884"/>
      <c r="DO68" s="884"/>
      <c r="DP68" s="884"/>
      <c r="DQ68" s="884"/>
      <c r="DR68" s="884"/>
      <c r="DS68" s="884"/>
      <c r="DT68" s="884"/>
      <c r="DU68" s="884"/>
      <c r="DV68" s="884"/>
      <c r="DW68" s="884"/>
      <c r="DX68" s="884"/>
      <c r="DY68" s="884"/>
      <c r="DZ68" s="884"/>
      <c r="EA68" s="884"/>
      <c r="EB68" s="884"/>
      <c r="EC68" s="884"/>
      <c r="ED68" s="884"/>
      <c r="EE68" s="884"/>
      <c r="EF68" s="884"/>
      <c r="EG68" s="884"/>
      <c r="EH68" s="884"/>
      <c r="EI68" s="884"/>
      <c r="EJ68" s="884"/>
      <c r="EK68" s="884"/>
      <c r="EL68" s="884"/>
      <c r="EM68" s="884"/>
      <c r="EN68" s="884"/>
      <c r="EO68" s="884"/>
      <c r="EP68" s="884"/>
      <c r="EQ68" s="884"/>
      <c r="ER68" s="884"/>
      <c r="ES68" s="884"/>
      <c r="ET68" s="884"/>
      <c r="EU68" s="884"/>
      <c r="EV68" s="884"/>
      <c r="EW68" s="884"/>
      <c r="EX68" s="884"/>
      <c r="EY68" s="884"/>
      <c r="EZ68" s="884"/>
      <c r="FA68" s="884"/>
      <c r="FB68" s="884"/>
      <c r="FC68" s="884"/>
      <c r="FD68" s="884"/>
      <c r="FE68" s="884"/>
      <c r="FF68" s="884"/>
      <c r="FG68" s="884"/>
      <c r="FH68" s="884"/>
      <c r="FI68" s="884"/>
      <c r="FJ68" s="884"/>
      <c r="FK68" s="884"/>
      <c r="FL68" s="884"/>
      <c r="FM68" s="884"/>
      <c r="FN68" s="884"/>
      <c r="FO68" s="884"/>
      <c r="FP68" s="884"/>
      <c r="FQ68" s="884"/>
      <c r="FR68" s="884"/>
      <c r="FS68" s="884"/>
      <c r="FT68" s="884"/>
      <c r="FU68" s="884"/>
      <c r="FV68" s="884"/>
      <c r="FW68" s="884"/>
      <c r="FX68" s="884"/>
      <c r="FY68" s="884"/>
      <c r="FZ68" s="884"/>
      <c r="GA68" s="884"/>
      <c r="GB68" s="884"/>
      <c r="GC68" s="884"/>
      <c r="GD68" s="884"/>
      <c r="GE68" s="884"/>
      <c r="GF68" s="884"/>
      <c r="GG68" s="884"/>
      <c r="GH68" s="884"/>
      <c r="GI68" s="884"/>
      <c r="GJ68" s="884"/>
      <c r="GK68" s="884"/>
      <c r="GL68" s="884"/>
      <c r="GM68" s="884"/>
      <c r="GN68" s="884"/>
      <c r="GO68" s="884"/>
      <c r="GP68" s="884"/>
      <c r="GQ68" s="884"/>
      <c r="GR68" s="884"/>
      <c r="GS68" s="884"/>
      <c r="GT68" s="884"/>
      <c r="GU68" s="884"/>
      <c r="GV68" s="884"/>
      <c r="GW68" s="884"/>
      <c r="GX68" s="884"/>
      <c r="GY68" s="884"/>
      <c r="GZ68" s="884"/>
      <c r="HA68" s="884"/>
      <c r="HB68" s="884"/>
      <c r="HC68" s="884"/>
      <c r="HD68" s="884"/>
      <c r="HE68" s="884"/>
      <c r="HF68" s="884"/>
      <c r="HG68" s="884"/>
      <c r="HH68" s="884"/>
      <c r="HI68" s="884"/>
      <c r="HJ68" s="884"/>
      <c r="HK68" s="884"/>
      <c r="HL68" s="884"/>
      <c r="HM68" s="884"/>
      <c r="HN68" s="884"/>
      <c r="HO68" s="884"/>
      <c r="HP68" s="884"/>
      <c r="HQ68" s="884"/>
      <c r="HR68" s="884"/>
      <c r="HS68" s="884"/>
      <c r="HT68" s="884"/>
      <c r="HU68" s="884"/>
      <c r="HV68" s="884"/>
      <c r="HW68" s="884"/>
      <c r="HX68" s="884"/>
      <c r="HY68" s="884"/>
      <c r="HZ68" s="884"/>
      <c r="IA68" s="884"/>
      <c r="IB68" s="884"/>
      <c r="IC68" s="884"/>
      <c r="ID68" s="884"/>
      <c r="IE68" s="884"/>
      <c r="IF68" s="884"/>
      <c r="IG68" s="884"/>
      <c r="IH68" s="884"/>
      <c r="II68" s="884"/>
      <c r="IJ68" s="884"/>
      <c r="IK68" s="884"/>
      <c r="IL68" s="884"/>
      <c r="IM68" s="884"/>
      <c r="IN68" s="884"/>
      <c r="IO68" s="884"/>
      <c r="IP68" s="884"/>
      <c r="IQ68" s="884"/>
      <c r="IR68" s="884"/>
      <c r="IS68" s="884"/>
      <c r="IT68" s="884"/>
      <c r="IU68" s="884"/>
      <c r="IV68" s="884"/>
      <c r="IW68" s="884"/>
      <c r="IX68" s="884"/>
      <c r="IY68" s="884"/>
      <c r="IZ68" s="884"/>
      <c r="JA68" s="884"/>
      <c r="JB68" s="884"/>
      <c r="JC68" s="884"/>
      <c r="JD68" s="884"/>
      <c r="JE68" s="884"/>
      <c r="JF68" s="884"/>
      <c r="JG68" s="884"/>
      <c r="JH68" s="884"/>
      <c r="JI68" s="884"/>
      <c r="JJ68" s="884"/>
      <c r="JK68" s="884"/>
      <c r="JL68" s="884"/>
      <c r="JM68" s="884"/>
      <c r="JN68" s="884"/>
      <c r="JO68" s="884"/>
      <c r="JP68" s="884"/>
      <c r="JQ68" s="884"/>
      <c r="JR68" s="884"/>
      <c r="JS68" s="884"/>
      <c r="JT68" s="884"/>
      <c r="JU68" s="884"/>
      <c r="JV68" s="884"/>
      <c r="JW68" s="884"/>
    </row>
    <row r="69" spans="1:283" s="883" customFormat="1" ht="26.25" customHeight="1" x14ac:dyDescent="0.2">
      <c r="A69" s="953"/>
      <c r="B69" s="954"/>
      <c r="C69" s="4062"/>
      <c r="D69" s="4063"/>
      <c r="E69" s="973"/>
      <c r="F69" s="971"/>
      <c r="G69" s="2771"/>
      <c r="H69" s="4067"/>
      <c r="I69" s="4067"/>
      <c r="J69" s="4069"/>
      <c r="K69" s="4071"/>
      <c r="L69" s="4079"/>
      <c r="M69" s="4081"/>
      <c r="N69" s="4083"/>
      <c r="O69" s="4085"/>
      <c r="P69" s="4087"/>
      <c r="Q69" s="2638"/>
      <c r="R69" s="911" t="s">
        <v>855</v>
      </c>
      <c r="S69" s="912">
        <v>2450000</v>
      </c>
      <c r="T69" s="2490" t="s">
        <v>61</v>
      </c>
      <c r="U69" s="2485" t="s">
        <v>357</v>
      </c>
      <c r="V69" s="4076"/>
      <c r="W69" s="4076"/>
      <c r="X69" s="4076"/>
      <c r="Y69" s="4076"/>
      <c r="Z69" s="4076"/>
      <c r="AA69" s="4076"/>
      <c r="AB69" s="4076"/>
      <c r="AC69" s="4076"/>
      <c r="AD69" s="4076"/>
      <c r="AE69" s="4076"/>
      <c r="AF69" s="4076"/>
      <c r="AG69" s="4076"/>
      <c r="AH69" s="4076"/>
      <c r="AI69" s="4095"/>
      <c r="AJ69" s="4095"/>
      <c r="AK69" s="4095"/>
      <c r="AL69" s="4088"/>
      <c r="AM69" s="4088"/>
      <c r="AN69" s="2638"/>
      <c r="AT69" s="884"/>
      <c r="AU69" s="884"/>
      <c r="AV69" s="884"/>
      <c r="AW69" s="884"/>
      <c r="AX69" s="884"/>
      <c r="AY69" s="884"/>
      <c r="AZ69" s="884"/>
      <c r="BA69" s="884"/>
      <c r="BB69" s="884"/>
      <c r="BC69" s="884"/>
      <c r="BD69" s="884"/>
      <c r="BE69" s="884"/>
      <c r="BF69" s="884"/>
      <c r="BG69" s="884"/>
      <c r="BH69" s="884"/>
      <c r="BI69" s="884"/>
      <c r="BJ69" s="884"/>
      <c r="BK69" s="884"/>
      <c r="BL69" s="884"/>
      <c r="BM69" s="884"/>
      <c r="BN69" s="884"/>
      <c r="BO69" s="884"/>
      <c r="BP69" s="884"/>
      <c r="BQ69" s="884"/>
      <c r="BR69" s="884"/>
      <c r="BS69" s="884"/>
      <c r="BT69" s="884"/>
      <c r="BU69" s="884"/>
      <c r="BV69" s="884"/>
      <c r="BW69" s="884"/>
      <c r="BX69" s="884"/>
      <c r="BY69" s="884"/>
      <c r="BZ69" s="884"/>
      <c r="CA69" s="884"/>
      <c r="CB69" s="884"/>
      <c r="CC69" s="884"/>
      <c r="CD69" s="884"/>
      <c r="CE69" s="884"/>
      <c r="CF69" s="884"/>
      <c r="CG69" s="884"/>
      <c r="CH69" s="884"/>
      <c r="CI69" s="884"/>
      <c r="CJ69" s="884"/>
      <c r="CK69" s="884"/>
      <c r="CL69" s="884"/>
      <c r="CM69" s="884"/>
      <c r="CN69" s="884"/>
      <c r="CO69" s="884"/>
      <c r="CP69" s="884"/>
      <c r="CQ69" s="884"/>
      <c r="CR69" s="884"/>
      <c r="CS69" s="884"/>
      <c r="CT69" s="884"/>
      <c r="CU69" s="884"/>
      <c r="CV69" s="884"/>
      <c r="CW69" s="884"/>
      <c r="CX69" s="884"/>
      <c r="CY69" s="884"/>
      <c r="CZ69" s="884"/>
      <c r="DA69" s="884"/>
      <c r="DB69" s="884"/>
      <c r="DC69" s="884"/>
      <c r="DD69" s="884"/>
      <c r="DE69" s="884"/>
      <c r="DF69" s="884"/>
      <c r="DG69" s="884"/>
      <c r="DH69" s="884"/>
      <c r="DI69" s="884"/>
      <c r="DJ69" s="884"/>
      <c r="DK69" s="884"/>
      <c r="DL69" s="884"/>
      <c r="DM69" s="884"/>
      <c r="DN69" s="884"/>
      <c r="DO69" s="884"/>
      <c r="DP69" s="884"/>
      <c r="DQ69" s="884"/>
      <c r="DR69" s="884"/>
      <c r="DS69" s="884"/>
      <c r="DT69" s="884"/>
      <c r="DU69" s="884"/>
      <c r="DV69" s="884"/>
      <c r="DW69" s="884"/>
      <c r="DX69" s="884"/>
      <c r="DY69" s="884"/>
      <c r="DZ69" s="884"/>
      <c r="EA69" s="884"/>
      <c r="EB69" s="884"/>
      <c r="EC69" s="884"/>
      <c r="ED69" s="884"/>
      <c r="EE69" s="884"/>
      <c r="EF69" s="884"/>
      <c r="EG69" s="884"/>
      <c r="EH69" s="884"/>
      <c r="EI69" s="884"/>
      <c r="EJ69" s="884"/>
      <c r="EK69" s="884"/>
      <c r="EL69" s="884"/>
      <c r="EM69" s="884"/>
      <c r="EN69" s="884"/>
      <c r="EO69" s="884"/>
      <c r="EP69" s="884"/>
      <c r="EQ69" s="884"/>
      <c r="ER69" s="884"/>
      <c r="ES69" s="884"/>
      <c r="ET69" s="884"/>
      <c r="EU69" s="884"/>
      <c r="EV69" s="884"/>
      <c r="EW69" s="884"/>
      <c r="EX69" s="884"/>
      <c r="EY69" s="884"/>
      <c r="EZ69" s="884"/>
      <c r="FA69" s="884"/>
      <c r="FB69" s="884"/>
      <c r="FC69" s="884"/>
      <c r="FD69" s="884"/>
      <c r="FE69" s="884"/>
      <c r="FF69" s="884"/>
      <c r="FG69" s="884"/>
      <c r="FH69" s="884"/>
      <c r="FI69" s="884"/>
      <c r="FJ69" s="884"/>
      <c r="FK69" s="884"/>
      <c r="FL69" s="884"/>
      <c r="FM69" s="884"/>
      <c r="FN69" s="884"/>
      <c r="FO69" s="884"/>
      <c r="FP69" s="884"/>
      <c r="FQ69" s="884"/>
      <c r="FR69" s="884"/>
      <c r="FS69" s="884"/>
      <c r="FT69" s="884"/>
      <c r="FU69" s="884"/>
      <c r="FV69" s="884"/>
      <c r="FW69" s="884"/>
      <c r="FX69" s="884"/>
      <c r="FY69" s="884"/>
      <c r="FZ69" s="884"/>
      <c r="GA69" s="884"/>
      <c r="GB69" s="884"/>
      <c r="GC69" s="884"/>
      <c r="GD69" s="884"/>
      <c r="GE69" s="884"/>
      <c r="GF69" s="884"/>
      <c r="GG69" s="884"/>
      <c r="GH69" s="884"/>
      <c r="GI69" s="884"/>
      <c r="GJ69" s="884"/>
      <c r="GK69" s="884"/>
      <c r="GL69" s="884"/>
      <c r="GM69" s="884"/>
      <c r="GN69" s="884"/>
      <c r="GO69" s="884"/>
      <c r="GP69" s="884"/>
      <c r="GQ69" s="884"/>
      <c r="GR69" s="884"/>
      <c r="GS69" s="884"/>
      <c r="GT69" s="884"/>
      <c r="GU69" s="884"/>
      <c r="GV69" s="884"/>
      <c r="GW69" s="884"/>
      <c r="GX69" s="884"/>
      <c r="GY69" s="884"/>
      <c r="GZ69" s="884"/>
      <c r="HA69" s="884"/>
      <c r="HB69" s="884"/>
      <c r="HC69" s="884"/>
      <c r="HD69" s="884"/>
      <c r="HE69" s="884"/>
      <c r="HF69" s="884"/>
      <c r="HG69" s="884"/>
      <c r="HH69" s="884"/>
      <c r="HI69" s="884"/>
      <c r="HJ69" s="884"/>
      <c r="HK69" s="884"/>
      <c r="HL69" s="884"/>
      <c r="HM69" s="884"/>
      <c r="HN69" s="884"/>
      <c r="HO69" s="884"/>
      <c r="HP69" s="884"/>
      <c r="HQ69" s="884"/>
      <c r="HR69" s="884"/>
      <c r="HS69" s="884"/>
      <c r="HT69" s="884"/>
      <c r="HU69" s="884"/>
      <c r="HV69" s="884"/>
      <c r="HW69" s="884"/>
      <c r="HX69" s="884"/>
      <c r="HY69" s="884"/>
      <c r="HZ69" s="884"/>
      <c r="IA69" s="884"/>
      <c r="IB69" s="884"/>
      <c r="IC69" s="884"/>
      <c r="ID69" s="884"/>
      <c r="IE69" s="884"/>
      <c r="IF69" s="884"/>
      <c r="IG69" s="884"/>
      <c r="IH69" s="884"/>
      <c r="II69" s="884"/>
      <c r="IJ69" s="884"/>
      <c r="IK69" s="884"/>
      <c r="IL69" s="884"/>
      <c r="IM69" s="884"/>
      <c r="IN69" s="884"/>
      <c r="IO69" s="884"/>
      <c r="IP69" s="884"/>
      <c r="IQ69" s="884"/>
      <c r="IR69" s="884"/>
      <c r="IS69" s="884"/>
      <c r="IT69" s="884"/>
      <c r="IU69" s="884"/>
      <c r="IV69" s="884"/>
      <c r="IW69" s="884"/>
      <c r="IX69" s="884"/>
      <c r="IY69" s="884"/>
      <c r="IZ69" s="884"/>
      <c r="JA69" s="884"/>
      <c r="JB69" s="884"/>
      <c r="JC69" s="884"/>
      <c r="JD69" s="884"/>
      <c r="JE69" s="884"/>
      <c r="JF69" s="884"/>
      <c r="JG69" s="884"/>
      <c r="JH69" s="884"/>
      <c r="JI69" s="884"/>
      <c r="JJ69" s="884"/>
      <c r="JK69" s="884"/>
      <c r="JL69" s="884"/>
      <c r="JM69" s="884"/>
      <c r="JN69" s="884"/>
      <c r="JO69" s="884"/>
      <c r="JP69" s="884"/>
      <c r="JQ69" s="884"/>
      <c r="JR69" s="884"/>
      <c r="JS69" s="884"/>
      <c r="JT69" s="884"/>
      <c r="JU69" s="884"/>
      <c r="JV69" s="884"/>
      <c r="JW69" s="884"/>
    </row>
    <row r="70" spans="1:283" s="883" customFormat="1" ht="30" x14ac:dyDescent="0.2">
      <c r="A70" s="953"/>
      <c r="B70" s="954"/>
      <c r="C70" s="4062"/>
      <c r="D70" s="4063"/>
      <c r="E70" s="973"/>
      <c r="F70" s="971"/>
      <c r="G70" s="2771"/>
      <c r="H70" s="4067"/>
      <c r="I70" s="4067"/>
      <c r="J70" s="4069"/>
      <c r="K70" s="4071"/>
      <c r="L70" s="4079"/>
      <c r="M70" s="4081"/>
      <c r="N70" s="4083"/>
      <c r="O70" s="4085"/>
      <c r="P70" s="4087"/>
      <c r="Q70" s="2638"/>
      <c r="R70" s="911" t="s">
        <v>856</v>
      </c>
      <c r="S70" s="912">
        <v>14800000</v>
      </c>
      <c r="T70" s="2490" t="s">
        <v>61</v>
      </c>
      <c r="U70" s="2485" t="s">
        <v>357</v>
      </c>
      <c r="V70" s="4076"/>
      <c r="W70" s="4076"/>
      <c r="X70" s="4076"/>
      <c r="Y70" s="4076"/>
      <c r="Z70" s="4076"/>
      <c r="AA70" s="4076"/>
      <c r="AB70" s="4076"/>
      <c r="AC70" s="4076"/>
      <c r="AD70" s="4076"/>
      <c r="AE70" s="4076"/>
      <c r="AF70" s="4076"/>
      <c r="AG70" s="4076"/>
      <c r="AH70" s="4076"/>
      <c r="AI70" s="4095"/>
      <c r="AJ70" s="4095"/>
      <c r="AK70" s="4095"/>
      <c r="AL70" s="4088"/>
      <c r="AM70" s="4088"/>
      <c r="AN70" s="2638"/>
      <c r="AT70" s="884"/>
      <c r="AU70" s="884"/>
      <c r="AV70" s="884"/>
      <c r="AW70" s="884"/>
      <c r="AX70" s="884"/>
      <c r="AY70" s="884"/>
      <c r="AZ70" s="884"/>
      <c r="BA70" s="884"/>
      <c r="BB70" s="884"/>
      <c r="BC70" s="884"/>
      <c r="BD70" s="884"/>
      <c r="BE70" s="884"/>
      <c r="BF70" s="884"/>
      <c r="BG70" s="884"/>
      <c r="BH70" s="884"/>
      <c r="BI70" s="884"/>
      <c r="BJ70" s="884"/>
      <c r="BK70" s="884"/>
      <c r="BL70" s="884"/>
      <c r="BM70" s="884"/>
      <c r="BN70" s="884"/>
      <c r="BO70" s="884"/>
      <c r="BP70" s="884"/>
      <c r="BQ70" s="884"/>
      <c r="BR70" s="884"/>
      <c r="BS70" s="884"/>
      <c r="BT70" s="884"/>
      <c r="BU70" s="884"/>
      <c r="BV70" s="884"/>
      <c r="BW70" s="884"/>
      <c r="BX70" s="884"/>
      <c r="BY70" s="884"/>
      <c r="BZ70" s="884"/>
      <c r="CA70" s="884"/>
      <c r="CB70" s="884"/>
      <c r="CC70" s="884"/>
      <c r="CD70" s="884"/>
      <c r="CE70" s="884"/>
      <c r="CF70" s="884"/>
      <c r="CG70" s="884"/>
      <c r="CH70" s="884"/>
      <c r="CI70" s="884"/>
      <c r="CJ70" s="884"/>
      <c r="CK70" s="884"/>
      <c r="CL70" s="884"/>
      <c r="CM70" s="884"/>
      <c r="CN70" s="884"/>
      <c r="CO70" s="884"/>
      <c r="CP70" s="884"/>
      <c r="CQ70" s="884"/>
      <c r="CR70" s="884"/>
      <c r="CS70" s="884"/>
      <c r="CT70" s="884"/>
      <c r="CU70" s="884"/>
      <c r="CV70" s="884"/>
      <c r="CW70" s="884"/>
      <c r="CX70" s="884"/>
      <c r="CY70" s="884"/>
      <c r="CZ70" s="884"/>
      <c r="DA70" s="884"/>
      <c r="DB70" s="884"/>
      <c r="DC70" s="884"/>
      <c r="DD70" s="884"/>
      <c r="DE70" s="884"/>
      <c r="DF70" s="884"/>
      <c r="DG70" s="884"/>
      <c r="DH70" s="884"/>
      <c r="DI70" s="884"/>
      <c r="DJ70" s="884"/>
      <c r="DK70" s="884"/>
      <c r="DL70" s="884"/>
      <c r="DM70" s="884"/>
      <c r="DN70" s="884"/>
      <c r="DO70" s="884"/>
      <c r="DP70" s="884"/>
      <c r="DQ70" s="884"/>
      <c r="DR70" s="884"/>
      <c r="DS70" s="884"/>
      <c r="DT70" s="884"/>
      <c r="DU70" s="884"/>
      <c r="DV70" s="884"/>
      <c r="DW70" s="884"/>
      <c r="DX70" s="884"/>
      <c r="DY70" s="884"/>
      <c r="DZ70" s="884"/>
      <c r="EA70" s="884"/>
      <c r="EB70" s="884"/>
      <c r="EC70" s="884"/>
      <c r="ED70" s="884"/>
      <c r="EE70" s="884"/>
      <c r="EF70" s="884"/>
      <c r="EG70" s="884"/>
      <c r="EH70" s="884"/>
      <c r="EI70" s="884"/>
      <c r="EJ70" s="884"/>
      <c r="EK70" s="884"/>
      <c r="EL70" s="884"/>
      <c r="EM70" s="884"/>
      <c r="EN70" s="884"/>
      <c r="EO70" s="884"/>
      <c r="EP70" s="884"/>
      <c r="EQ70" s="884"/>
      <c r="ER70" s="884"/>
      <c r="ES70" s="884"/>
      <c r="ET70" s="884"/>
      <c r="EU70" s="884"/>
      <c r="EV70" s="884"/>
      <c r="EW70" s="884"/>
      <c r="EX70" s="884"/>
      <c r="EY70" s="884"/>
      <c r="EZ70" s="884"/>
      <c r="FA70" s="884"/>
      <c r="FB70" s="884"/>
      <c r="FC70" s="884"/>
      <c r="FD70" s="884"/>
      <c r="FE70" s="884"/>
      <c r="FF70" s="884"/>
      <c r="FG70" s="884"/>
      <c r="FH70" s="884"/>
      <c r="FI70" s="884"/>
      <c r="FJ70" s="884"/>
      <c r="FK70" s="884"/>
      <c r="FL70" s="884"/>
      <c r="FM70" s="884"/>
      <c r="FN70" s="884"/>
      <c r="FO70" s="884"/>
      <c r="FP70" s="884"/>
      <c r="FQ70" s="884"/>
      <c r="FR70" s="884"/>
      <c r="FS70" s="884"/>
      <c r="FT70" s="884"/>
      <c r="FU70" s="884"/>
      <c r="FV70" s="884"/>
      <c r="FW70" s="884"/>
      <c r="FX70" s="884"/>
      <c r="FY70" s="884"/>
      <c r="FZ70" s="884"/>
      <c r="GA70" s="884"/>
      <c r="GB70" s="884"/>
      <c r="GC70" s="884"/>
      <c r="GD70" s="884"/>
      <c r="GE70" s="884"/>
      <c r="GF70" s="884"/>
      <c r="GG70" s="884"/>
      <c r="GH70" s="884"/>
      <c r="GI70" s="884"/>
      <c r="GJ70" s="884"/>
      <c r="GK70" s="884"/>
      <c r="GL70" s="884"/>
      <c r="GM70" s="884"/>
      <c r="GN70" s="884"/>
      <c r="GO70" s="884"/>
      <c r="GP70" s="884"/>
      <c r="GQ70" s="884"/>
      <c r="GR70" s="884"/>
      <c r="GS70" s="884"/>
      <c r="GT70" s="884"/>
      <c r="GU70" s="884"/>
      <c r="GV70" s="884"/>
      <c r="GW70" s="884"/>
      <c r="GX70" s="884"/>
      <c r="GY70" s="884"/>
      <c r="GZ70" s="884"/>
      <c r="HA70" s="884"/>
      <c r="HB70" s="884"/>
      <c r="HC70" s="884"/>
      <c r="HD70" s="884"/>
      <c r="HE70" s="884"/>
      <c r="HF70" s="884"/>
      <c r="HG70" s="884"/>
      <c r="HH70" s="884"/>
      <c r="HI70" s="884"/>
      <c r="HJ70" s="884"/>
      <c r="HK70" s="884"/>
      <c r="HL70" s="884"/>
      <c r="HM70" s="884"/>
      <c r="HN70" s="884"/>
      <c r="HO70" s="884"/>
      <c r="HP70" s="884"/>
      <c r="HQ70" s="884"/>
      <c r="HR70" s="884"/>
      <c r="HS70" s="884"/>
      <c r="HT70" s="884"/>
      <c r="HU70" s="884"/>
      <c r="HV70" s="884"/>
      <c r="HW70" s="884"/>
      <c r="HX70" s="884"/>
      <c r="HY70" s="884"/>
      <c r="HZ70" s="884"/>
      <c r="IA70" s="884"/>
      <c r="IB70" s="884"/>
      <c r="IC70" s="884"/>
      <c r="ID70" s="884"/>
      <c r="IE70" s="884"/>
      <c r="IF70" s="884"/>
      <c r="IG70" s="884"/>
      <c r="IH70" s="884"/>
      <c r="II70" s="884"/>
      <c r="IJ70" s="884"/>
      <c r="IK70" s="884"/>
      <c r="IL70" s="884"/>
      <c r="IM70" s="884"/>
      <c r="IN70" s="884"/>
      <c r="IO70" s="884"/>
      <c r="IP70" s="884"/>
      <c r="IQ70" s="884"/>
      <c r="IR70" s="884"/>
      <c r="IS70" s="884"/>
      <c r="IT70" s="884"/>
      <c r="IU70" s="884"/>
      <c r="IV70" s="884"/>
      <c r="IW70" s="884"/>
      <c r="IX70" s="884"/>
      <c r="IY70" s="884"/>
      <c r="IZ70" s="884"/>
      <c r="JA70" s="884"/>
      <c r="JB70" s="884"/>
      <c r="JC70" s="884"/>
      <c r="JD70" s="884"/>
      <c r="JE70" s="884"/>
      <c r="JF70" s="884"/>
      <c r="JG70" s="884"/>
      <c r="JH70" s="884"/>
      <c r="JI70" s="884"/>
      <c r="JJ70" s="884"/>
      <c r="JK70" s="884"/>
      <c r="JL70" s="884"/>
      <c r="JM70" s="884"/>
      <c r="JN70" s="884"/>
      <c r="JO70" s="884"/>
      <c r="JP70" s="884"/>
      <c r="JQ70" s="884"/>
      <c r="JR70" s="884"/>
      <c r="JS70" s="884"/>
      <c r="JT70" s="884"/>
      <c r="JU70" s="884"/>
      <c r="JV70" s="884"/>
      <c r="JW70" s="884"/>
    </row>
    <row r="71" spans="1:283" s="883" customFormat="1" ht="30" x14ac:dyDescent="0.2">
      <c r="A71" s="953"/>
      <c r="B71" s="954"/>
      <c r="C71" s="4062"/>
      <c r="D71" s="4063"/>
      <c r="E71" s="973"/>
      <c r="F71" s="971"/>
      <c r="G71" s="2771"/>
      <c r="H71" s="4067"/>
      <c r="I71" s="4067"/>
      <c r="J71" s="4069"/>
      <c r="K71" s="4071"/>
      <c r="L71" s="4079"/>
      <c r="M71" s="4081"/>
      <c r="N71" s="4083"/>
      <c r="O71" s="4085"/>
      <c r="P71" s="4087"/>
      <c r="Q71" s="2638"/>
      <c r="R71" s="972" t="s">
        <v>857</v>
      </c>
      <c r="S71" s="912">
        <v>5280000</v>
      </c>
      <c r="T71" s="2490" t="s">
        <v>61</v>
      </c>
      <c r="U71" s="2485" t="s">
        <v>357</v>
      </c>
      <c r="V71" s="4076"/>
      <c r="W71" s="4076"/>
      <c r="X71" s="4076"/>
      <c r="Y71" s="4076"/>
      <c r="Z71" s="4076"/>
      <c r="AA71" s="4076"/>
      <c r="AB71" s="4076"/>
      <c r="AC71" s="4076"/>
      <c r="AD71" s="4076"/>
      <c r="AE71" s="4076"/>
      <c r="AF71" s="4076"/>
      <c r="AG71" s="4076"/>
      <c r="AH71" s="4076"/>
      <c r="AI71" s="4095"/>
      <c r="AJ71" s="4095"/>
      <c r="AK71" s="4095"/>
      <c r="AL71" s="4088"/>
      <c r="AM71" s="4088"/>
      <c r="AN71" s="2638"/>
      <c r="AT71" s="884"/>
      <c r="AU71" s="884"/>
      <c r="AV71" s="884"/>
      <c r="AW71" s="884"/>
      <c r="AX71" s="884"/>
      <c r="AY71" s="884"/>
      <c r="AZ71" s="884"/>
      <c r="BA71" s="884"/>
      <c r="BB71" s="884"/>
      <c r="BC71" s="884"/>
      <c r="BD71" s="884"/>
      <c r="BE71" s="884"/>
      <c r="BF71" s="884"/>
      <c r="BG71" s="884"/>
      <c r="BH71" s="884"/>
      <c r="BI71" s="884"/>
      <c r="BJ71" s="884"/>
      <c r="BK71" s="884"/>
      <c r="BL71" s="884"/>
      <c r="BM71" s="884"/>
      <c r="BN71" s="884"/>
      <c r="BO71" s="884"/>
      <c r="BP71" s="884"/>
      <c r="BQ71" s="884"/>
      <c r="BR71" s="884"/>
      <c r="BS71" s="884"/>
      <c r="BT71" s="884"/>
      <c r="BU71" s="884"/>
      <c r="BV71" s="884"/>
      <c r="BW71" s="884"/>
      <c r="BX71" s="884"/>
      <c r="BY71" s="884"/>
      <c r="BZ71" s="884"/>
      <c r="CA71" s="884"/>
      <c r="CB71" s="884"/>
      <c r="CC71" s="884"/>
      <c r="CD71" s="884"/>
      <c r="CE71" s="884"/>
      <c r="CF71" s="884"/>
      <c r="CG71" s="884"/>
      <c r="CH71" s="884"/>
      <c r="CI71" s="884"/>
      <c r="CJ71" s="884"/>
      <c r="CK71" s="884"/>
      <c r="CL71" s="884"/>
      <c r="CM71" s="884"/>
      <c r="CN71" s="884"/>
      <c r="CO71" s="884"/>
      <c r="CP71" s="884"/>
      <c r="CQ71" s="884"/>
      <c r="CR71" s="884"/>
      <c r="CS71" s="884"/>
      <c r="CT71" s="884"/>
      <c r="CU71" s="884"/>
      <c r="CV71" s="884"/>
      <c r="CW71" s="884"/>
      <c r="CX71" s="884"/>
      <c r="CY71" s="884"/>
      <c r="CZ71" s="884"/>
      <c r="DA71" s="884"/>
      <c r="DB71" s="884"/>
      <c r="DC71" s="884"/>
      <c r="DD71" s="884"/>
      <c r="DE71" s="884"/>
      <c r="DF71" s="884"/>
      <c r="DG71" s="884"/>
      <c r="DH71" s="884"/>
      <c r="DI71" s="884"/>
      <c r="DJ71" s="884"/>
      <c r="DK71" s="884"/>
      <c r="DL71" s="884"/>
      <c r="DM71" s="884"/>
      <c r="DN71" s="884"/>
      <c r="DO71" s="884"/>
      <c r="DP71" s="884"/>
      <c r="DQ71" s="884"/>
      <c r="DR71" s="884"/>
      <c r="DS71" s="884"/>
      <c r="DT71" s="884"/>
      <c r="DU71" s="884"/>
      <c r="DV71" s="884"/>
      <c r="DW71" s="884"/>
      <c r="DX71" s="884"/>
      <c r="DY71" s="884"/>
      <c r="DZ71" s="884"/>
      <c r="EA71" s="884"/>
      <c r="EB71" s="884"/>
      <c r="EC71" s="884"/>
      <c r="ED71" s="884"/>
      <c r="EE71" s="884"/>
      <c r="EF71" s="884"/>
      <c r="EG71" s="884"/>
      <c r="EH71" s="884"/>
      <c r="EI71" s="884"/>
      <c r="EJ71" s="884"/>
      <c r="EK71" s="884"/>
      <c r="EL71" s="884"/>
      <c r="EM71" s="884"/>
      <c r="EN71" s="884"/>
      <c r="EO71" s="884"/>
      <c r="EP71" s="884"/>
      <c r="EQ71" s="884"/>
      <c r="ER71" s="884"/>
      <c r="ES71" s="884"/>
      <c r="ET71" s="884"/>
      <c r="EU71" s="884"/>
      <c r="EV71" s="884"/>
      <c r="EW71" s="884"/>
      <c r="EX71" s="884"/>
      <c r="EY71" s="884"/>
      <c r="EZ71" s="884"/>
      <c r="FA71" s="884"/>
      <c r="FB71" s="884"/>
      <c r="FC71" s="884"/>
      <c r="FD71" s="884"/>
      <c r="FE71" s="884"/>
      <c r="FF71" s="884"/>
      <c r="FG71" s="884"/>
      <c r="FH71" s="884"/>
      <c r="FI71" s="884"/>
      <c r="FJ71" s="884"/>
      <c r="FK71" s="884"/>
      <c r="FL71" s="884"/>
      <c r="FM71" s="884"/>
      <c r="FN71" s="884"/>
      <c r="FO71" s="884"/>
      <c r="FP71" s="884"/>
      <c r="FQ71" s="884"/>
      <c r="FR71" s="884"/>
      <c r="FS71" s="884"/>
      <c r="FT71" s="884"/>
      <c r="FU71" s="884"/>
      <c r="FV71" s="884"/>
      <c r="FW71" s="884"/>
      <c r="FX71" s="884"/>
      <c r="FY71" s="884"/>
      <c r="FZ71" s="884"/>
      <c r="GA71" s="884"/>
      <c r="GB71" s="884"/>
      <c r="GC71" s="884"/>
      <c r="GD71" s="884"/>
      <c r="GE71" s="884"/>
      <c r="GF71" s="884"/>
      <c r="GG71" s="884"/>
      <c r="GH71" s="884"/>
      <c r="GI71" s="884"/>
      <c r="GJ71" s="884"/>
      <c r="GK71" s="884"/>
      <c r="GL71" s="884"/>
      <c r="GM71" s="884"/>
      <c r="GN71" s="884"/>
      <c r="GO71" s="884"/>
      <c r="GP71" s="884"/>
      <c r="GQ71" s="884"/>
      <c r="GR71" s="884"/>
      <c r="GS71" s="884"/>
      <c r="GT71" s="884"/>
      <c r="GU71" s="884"/>
      <c r="GV71" s="884"/>
      <c r="GW71" s="884"/>
      <c r="GX71" s="884"/>
      <c r="GY71" s="884"/>
      <c r="GZ71" s="884"/>
      <c r="HA71" s="884"/>
      <c r="HB71" s="884"/>
      <c r="HC71" s="884"/>
      <c r="HD71" s="884"/>
      <c r="HE71" s="884"/>
      <c r="HF71" s="884"/>
      <c r="HG71" s="884"/>
      <c r="HH71" s="884"/>
      <c r="HI71" s="884"/>
      <c r="HJ71" s="884"/>
      <c r="HK71" s="884"/>
      <c r="HL71" s="884"/>
      <c r="HM71" s="884"/>
      <c r="HN71" s="884"/>
      <c r="HO71" s="884"/>
      <c r="HP71" s="884"/>
      <c r="HQ71" s="884"/>
      <c r="HR71" s="884"/>
      <c r="HS71" s="884"/>
      <c r="HT71" s="884"/>
      <c r="HU71" s="884"/>
      <c r="HV71" s="884"/>
      <c r="HW71" s="884"/>
      <c r="HX71" s="884"/>
      <c r="HY71" s="884"/>
      <c r="HZ71" s="884"/>
      <c r="IA71" s="884"/>
      <c r="IB71" s="884"/>
      <c r="IC71" s="884"/>
      <c r="ID71" s="884"/>
      <c r="IE71" s="884"/>
      <c r="IF71" s="884"/>
      <c r="IG71" s="884"/>
      <c r="IH71" s="884"/>
      <c r="II71" s="884"/>
      <c r="IJ71" s="884"/>
      <c r="IK71" s="884"/>
      <c r="IL71" s="884"/>
      <c r="IM71" s="884"/>
      <c r="IN71" s="884"/>
      <c r="IO71" s="884"/>
      <c r="IP71" s="884"/>
      <c r="IQ71" s="884"/>
      <c r="IR71" s="884"/>
      <c r="IS71" s="884"/>
      <c r="IT71" s="884"/>
      <c r="IU71" s="884"/>
      <c r="IV71" s="884"/>
      <c r="IW71" s="884"/>
      <c r="IX71" s="884"/>
      <c r="IY71" s="884"/>
      <c r="IZ71" s="884"/>
      <c r="JA71" s="884"/>
      <c r="JB71" s="884"/>
      <c r="JC71" s="884"/>
      <c r="JD71" s="884"/>
      <c r="JE71" s="884"/>
      <c r="JF71" s="884"/>
      <c r="JG71" s="884"/>
      <c r="JH71" s="884"/>
      <c r="JI71" s="884"/>
      <c r="JJ71" s="884"/>
      <c r="JK71" s="884"/>
      <c r="JL71" s="884"/>
      <c r="JM71" s="884"/>
      <c r="JN71" s="884"/>
      <c r="JO71" s="884"/>
      <c r="JP71" s="884"/>
      <c r="JQ71" s="884"/>
      <c r="JR71" s="884"/>
      <c r="JS71" s="884"/>
      <c r="JT71" s="884"/>
      <c r="JU71" s="884"/>
      <c r="JV71" s="884"/>
      <c r="JW71" s="884"/>
    </row>
    <row r="72" spans="1:283" s="883" customFormat="1" ht="30" x14ac:dyDescent="0.2">
      <c r="A72" s="953"/>
      <c r="B72" s="954"/>
      <c r="C72" s="4062"/>
      <c r="D72" s="4063"/>
      <c r="E72" s="973"/>
      <c r="F72" s="971"/>
      <c r="G72" s="2771"/>
      <c r="H72" s="4067"/>
      <c r="I72" s="4067"/>
      <c r="J72" s="4069"/>
      <c r="K72" s="4071"/>
      <c r="L72" s="4079"/>
      <c r="M72" s="4081"/>
      <c r="N72" s="4083"/>
      <c r="O72" s="4085"/>
      <c r="P72" s="4087"/>
      <c r="Q72" s="2638"/>
      <c r="R72" s="972" t="s">
        <v>858</v>
      </c>
      <c r="S72" s="912">
        <v>35000000</v>
      </c>
      <c r="T72" s="2490" t="s">
        <v>61</v>
      </c>
      <c r="U72" s="2485" t="s">
        <v>357</v>
      </c>
      <c r="V72" s="4076"/>
      <c r="W72" s="4076"/>
      <c r="X72" s="4076"/>
      <c r="Y72" s="4076"/>
      <c r="Z72" s="4076"/>
      <c r="AA72" s="4076"/>
      <c r="AB72" s="4076"/>
      <c r="AC72" s="4076"/>
      <c r="AD72" s="4076"/>
      <c r="AE72" s="4076"/>
      <c r="AF72" s="4076"/>
      <c r="AG72" s="4076"/>
      <c r="AH72" s="4076"/>
      <c r="AI72" s="4095"/>
      <c r="AJ72" s="4095"/>
      <c r="AK72" s="4095"/>
      <c r="AL72" s="4088"/>
      <c r="AM72" s="4088"/>
      <c r="AN72" s="2638"/>
      <c r="AT72" s="884"/>
      <c r="AU72" s="884"/>
      <c r="AV72" s="884"/>
      <c r="AW72" s="884"/>
      <c r="AX72" s="884"/>
      <c r="AY72" s="884"/>
      <c r="AZ72" s="884"/>
      <c r="BA72" s="884"/>
      <c r="BB72" s="884"/>
      <c r="BC72" s="884"/>
      <c r="BD72" s="884"/>
      <c r="BE72" s="884"/>
      <c r="BF72" s="884"/>
      <c r="BG72" s="884"/>
      <c r="BH72" s="884"/>
      <c r="BI72" s="884"/>
      <c r="BJ72" s="884"/>
      <c r="BK72" s="884"/>
      <c r="BL72" s="884"/>
      <c r="BM72" s="884"/>
      <c r="BN72" s="884"/>
      <c r="BO72" s="884"/>
      <c r="BP72" s="884"/>
      <c r="BQ72" s="884"/>
      <c r="BR72" s="884"/>
      <c r="BS72" s="884"/>
      <c r="BT72" s="884"/>
      <c r="BU72" s="884"/>
      <c r="BV72" s="884"/>
      <c r="BW72" s="884"/>
      <c r="BX72" s="884"/>
      <c r="BY72" s="884"/>
      <c r="BZ72" s="884"/>
      <c r="CA72" s="884"/>
      <c r="CB72" s="884"/>
      <c r="CC72" s="884"/>
      <c r="CD72" s="884"/>
      <c r="CE72" s="884"/>
      <c r="CF72" s="884"/>
      <c r="CG72" s="884"/>
      <c r="CH72" s="884"/>
      <c r="CI72" s="884"/>
      <c r="CJ72" s="884"/>
      <c r="CK72" s="884"/>
      <c r="CL72" s="884"/>
      <c r="CM72" s="884"/>
      <c r="CN72" s="884"/>
      <c r="CO72" s="884"/>
      <c r="CP72" s="884"/>
      <c r="CQ72" s="884"/>
      <c r="CR72" s="884"/>
      <c r="CS72" s="884"/>
      <c r="CT72" s="884"/>
      <c r="CU72" s="884"/>
      <c r="CV72" s="884"/>
      <c r="CW72" s="884"/>
      <c r="CX72" s="884"/>
      <c r="CY72" s="884"/>
      <c r="CZ72" s="884"/>
      <c r="DA72" s="884"/>
      <c r="DB72" s="884"/>
      <c r="DC72" s="884"/>
      <c r="DD72" s="884"/>
      <c r="DE72" s="884"/>
      <c r="DF72" s="884"/>
      <c r="DG72" s="884"/>
      <c r="DH72" s="884"/>
      <c r="DI72" s="884"/>
      <c r="DJ72" s="884"/>
      <c r="DK72" s="884"/>
      <c r="DL72" s="884"/>
      <c r="DM72" s="884"/>
      <c r="DN72" s="884"/>
      <c r="DO72" s="884"/>
      <c r="DP72" s="884"/>
      <c r="DQ72" s="884"/>
      <c r="DR72" s="884"/>
      <c r="DS72" s="884"/>
      <c r="DT72" s="884"/>
      <c r="DU72" s="884"/>
      <c r="DV72" s="884"/>
      <c r="DW72" s="884"/>
      <c r="DX72" s="884"/>
      <c r="DY72" s="884"/>
      <c r="DZ72" s="884"/>
      <c r="EA72" s="884"/>
      <c r="EB72" s="884"/>
      <c r="EC72" s="884"/>
      <c r="ED72" s="884"/>
      <c r="EE72" s="884"/>
      <c r="EF72" s="884"/>
      <c r="EG72" s="884"/>
      <c r="EH72" s="884"/>
      <c r="EI72" s="884"/>
      <c r="EJ72" s="884"/>
      <c r="EK72" s="884"/>
      <c r="EL72" s="884"/>
      <c r="EM72" s="884"/>
      <c r="EN72" s="884"/>
      <c r="EO72" s="884"/>
      <c r="EP72" s="884"/>
      <c r="EQ72" s="884"/>
      <c r="ER72" s="884"/>
      <c r="ES72" s="884"/>
      <c r="ET72" s="884"/>
      <c r="EU72" s="884"/>
      <c r="EV72" s="884"/>
      <c r="EW72" s="884"/>
      <c r="EX72" s="884"/>
      <c r="EY72" s="884"/>
      <c r="EZ72" s="884"/>
      <c r="FA72" s="884"/>
      <c r="FB72" s="884"/>
      <c r="FC72" s="884"/>
      <c r="FD72" s="884"/>
      <c r="FE72" s="884"/>
      <c r="FF72" s="884"/>
      <c r="FG72" s="884"/>
      <c r="FH72" s="884"/>
      <c r="FI72" s="884"/>
      <c r="FJ72" s="884"/>
      <c r="FK72" s="884"/>
      <c r="FL72" s="884"/>
      <c r="FM72" s="884"/>
      <c r="FN72" s="884"/>
      <c r="FO72" s="884"/>
      <c r="FP72" s="884"/>
      <c r="FQ72" s="884"/>
      <c r="FR72" s="884"/>
      <c r="FS72" s="884"/>
      <c r="FT72" s="884"/>
      <c r="FU72" s="884"/>
      <c r="FV72" s="884"/>
      <c r="FW72" s="884"/>
      <c r="FX72" s="884"/>
      <c r="FY72" s="884"/>
      <c r="FZ72" s="884"/>
      <c r="GA72" s="884"/>
      <c r="GB72" s="884"/>
      <c r="GC72" s="884"/>
      <c r="GD72" s="884"/>
      <c r="GE72" s="884"/>
      <c r="GF72" s="884"/>
      <c r="GG72" s="884"/>
      <c r="GH72" s="884"/>
      <c r="GI72" s="884"/>
      <c r="GJ72" s="884"/>
      <c r="GK72" s="884"/>
      <c r="GL72" s="884"/>
      <c r="GM72" s="884"/>
      <c r="GN72" s="884"/>
      <c r="GO72" s="884"/>
      <c r="GP72" s="884"/>
      <c r="GQ72" s="884"/>
      <c r="GR72" s="884"/>
      <c r="GS72" s="884"/>
      <c r="GT72" s="884"/>
      <c r="GU72" s="884"/>
      <c r="GV72" s="884"/>
      <c r="GW72" s="884"/>
      <c r="GX72" s="884"/>
      <c r="GY72" s="884"/>
      <c r="GZ72" s="884"/>
      <c r="HA72" s="884"/>
      <c r="HB72" s="884"/>
      <c r="HC72" s="884"/>
      <c r="HD72" s="884"/>
      <c r="HE72" s="884"/>
      <c r="HF72" s="884"/>
      <c r="HG72" s="884"/>
      <c r="HH72" s="884"/>
      <c r="HI72" s="884"/>
      <c r="HJ72" s="884"/>
      <c r="HK72" s="884"/>
      <c r="HL72" s="884"/>
      <c r="HM72" s="884"/>
      <c r="HN72" s="884"/>
      <c r="HO72" s="884"/>
      <c r="HP72" s="884"/>
      <c r="HQ72" s="884"/>
      <c r="HR72" s="884"/>
      <c r="HS72" s="884"/>
      <c r="HT72" s="884"/>
      <c r="HU72" s="884"/>
      <c r="HV72" s="884"/>
      <c r="HW72" s="884"/>
      <c r="HX72" s="884"/>
      <c r="HY72" s="884"/>
      <c r="HZ72" s="884"/>
      <c r="IA72" s="884"/>
      <c r="IB72" s="884"/>
      <c r="IC72" s="884"/>
      <c r="ID72" s="884"/>
      <c r="IE72" s="884"/>
      <c r="IF72" s="884"/>
      <c r="IG72" s="884"/>
      <c r="IH72" s="884"/>
      <c r="II72" s="884"/>
      <c r="IJ72" s="884"/>
      <c r="IK72" s="884"/>
      <c r="IL72" s="884"/>
      <c r="IM72" s="884"/>
      <c r="IN72" s="884"/>
      <c r="IO72" s="884"/>
      <c r="IP72" s="884"/>
      <c r="IQ72" s="884"/>
      <c r="IR72" s="884"/>
      <c r="IS72" s="884"/>
      <c r="IT72" s="884"/>
      <c r="IU72" s="884"/>
      <c r="IV72" s="884"/>
      <c r="IW72" s="884"/>
      <c r="IX72" s="884"/>
      <c r="IY72" s="884"/>
      <c r="IZ72" s="884"/>
      <c r="JA72" s="884"/>
      <c r="JB72" s="884"/>
      <c r="JC72" s="884"/>
      <c r="JD72" s="884"/>
      <c r="JE72" s="884"/>
      <c r="JF72" s="884"/>
      <c r="JG72" s="884"/>
      <c r="JH72" s="884"/>
      <c r="JI72" s="884"/>
      <c r="JJ72" s="884"/>
      <c r="JK72" s="884"/>
      <c r="JL72" s="884"/>
      <c r="JM72" s="884"/>
      <c r="JN72" s="884"/>
      <c r="JO72" s="884"/>
      <c r="JP72" s="884"/>
      <c r="JQ72" s="884"/>
      <c r="JR72" s="884"/>
      <c r="JS72" s="884"/>
      <c r="JT72" s="884"/>
      <c r="JU72" s="884"/>
      <c r="JV72" s="884"/>
      <c r="JW72" s="884"/>
    </row>
    <row r="73" spans="1:283" s="883" customFormat="1" ht="29.25" customHeight="1" x14ac:dyDescent="0.2">
      <c r="A73" s="953"/>
      <c r="B73" s="954"/>
      <c r="C73" s="4062"/>
      <c r="D73" s="4063"/>
      <c r="E73" s="973"/>
      <c r="F73" s="971"/>
      <c r="G73" s="2771"/>
      <c r="H73" s="4067"/>
      <c r="I73" s="4067"/>
      <c r="J73" s="4069"/>
      <c r="K73" s="4071"/>
      <c r="L73" s="4079"/>
      <c r="M73" s="4081"/>
      <c r="N73" s="4083"/>
      <c r="O73" s="4085"/>
      <c r="P73" s="4087"/>
      <c r="Q73" s="2660"/>
      <c r="R73" s="972" t="s">
        <v>859</v>
      </c>
      <c r="S73" s="912">
        <f>20000000-3000000</f>
        <v>17000000</v>
      </c>
      <c r="T73" s="2490" t="s">
        <v>61</v>
      </c>
      <c r="U73" s="2485" t="s">
        <v>357</v>
      </c>
      <c r="V73" s="4077"/>
      <c r="W73" s="4077"/>
      <c r="X73" s="4077"/>
      <c r="Y73" s="4077"/>
      <c r="Z73" s="4077"/>
      <c r="AA73" s="4077"/>
      <c r="AB73" s="4077"/>
      <c r="AC73" s="4077"/>
      <c r="AD73" s="4077"/>
      <c r="AE73" s="4077"/>
      <c r="AF73" s="4077"/>
      <c r="AG73" s="4077"/>
      <c r="AH73" s="4077"/>
      <c r="AI73" s="4096"/>
      <c r="AJ73" s="4096"/>
      <c r="AK73" s="4096"/>
      <c r="AL73" s="4089"/>
      <c r="AM73" s="4089"/>
      <c r="AN73" s="2660"/>
      <c r="AT73" s="884"/>
      <c r="AU73" s="884"/>
      <c r="AV73" s="884"/>
      <c r="AW73" s="884"/>
      <c r="AX73" s="884"/>
      <c r="AY73" s="884"/>
      <c r="AZ73" s="884"/>
      <c r="BA73" s="884"/>
      <c r="BB73" s="884"/>
      <c r="BC73" s="884"/>
      <c r="BD73" s="884"/>
      <c r="BE73" s="884"/>
      <c r="BF73" s="884"/>
      <c r="BG73" s="884"/>
      <c r="BH73" s="884"/>
      <c r="BI73" s="884"/>
      <c r="BJ73" s="884"/>
      <c r="BK73" s="884"/>
      <c r="BL73" s="884"/>
      <c r="BM73" s="884"/>
      <c r="BN73" s="884"/>
      <c r="BO73" s="884"/>
      <c r="BP73" s="884"/>
      <c r="BQ73" s="884"/>
      <c r="BR73" s="884"/>
      <c r="BS73" s="884"/>
      <c r="BT73" s="884"/>
      <c r="BU73" s="884"/>
      <c r="BV73" s="884"/>
      <c r="BW73" s="884"/>
      <c r="BX73" s="884"/>
      <c r="BY73" s="884"/>
      <c r="BZ73" s="884"/>
      <c r="CA73" s="884"/>
      <c r="CB73" s="884"/>
      <c r="CC73" s="884"/>
      <c r="CD73" s="884"/>
      <c r="CE73" s="884"/>
      <c r="CF73" s="884"/>
      <c r="CG73" s="884"/>
      <c r="CH73" s="884"/>
      <c r="CI73" s="884"/>
      <c r="CJ73" s="884"/>
      <c r="CK73" s="884"/>
      <c r="CL73" s="884"/>
      <c r="CM73" s="884"/>
      <c r="CN73" s="884"/>
      <c r="CO73" s="884"/>
      <c r="CP73" s="884"/>
      <c r="CQ73" s="884"/>
      <c r="CR73" s="884"/>
      <c r="CS73" s="884"/>
      <c r="CT73" s="884"/>
      <c r="CU73" s="884"/>
      <c r="CV73" s="884"/>
      <c r="CW73" s="884"/>
      <c r="CX73" s="884"/>
      <c r="CY73" s="884"/>
      <c r="CZ73" s="884"/>
      <c r="DA73" s="884"/>
      <c r="DB73" s="884"/>
      <c r="DC73" s="884"/>
      <c r="DD73" s="884"/>
      <c r="DE73" s="884"/>
      <c r="DF73" s="884"/>
      <c r="DG73" s="884"/>
      <c r="DH73" s="884"/>
      <c r="DI73" s="884"/>
      <c r="DJ73" s="884"/>
      <c r="DK73" s="884"/>
      <c r="DL73" s="884"/>
      <c r="DM73" s="884"/>
      <c r="DN73" s="884"/>
      <c r="DO73" s="884"/>
      <c r="DP73" s="884"/>
      <c r="DQ73" s="884"/>
      <c r="DR73" s="884"/>
      <c r="DS73" s="884"/>
      <c r="DT73" s="884"/>
      <c r="DU73" s="884"/>
      <c r="DV73" s="884"/>
      <c r="DW73" s="884"/>
      <c r="DX73" s="884"/>
      <c r="DY73" s="884"/>
      <c r="DZ73" s="884"/>
      <c r="EA73" s="884"/>
      <c r="EB73" s="884"/>
      <c r="EC73" s="884"/>
      <c r="ED73" s="884"/>
      <c r="EE73" s="884"/>
      <c r="EF73" s="884"/>
      <c r="EG73" s="884"/>
      <c r="EH73" s="884"/>
      <c r="EI73" s="884"/>
      <c r="EJ73" s="884"/>
      <c r="EK73" s="884"/>
      <c r="EL73" s="884"/>
      <c r="EM73" s="884"/>
      <c r="EN73" s="884"/>
      <c r="EO73" s="884"/>
      <c r="EP73" s="884"/>
      <c r="EQ73" s="884"/>
      <c r="ER73" s="884"/>
      <c r="ES73" s="884"/>
      <c r="ET73" s="884"/>
      <c r="EU73" s="884"/>
      <c r="EV73" s="884"/>
      <c r="EW73" s="884"/>
      <c r="EX73" s="884"/>
      <c r="EY73" s="884"/>
      <c r="EZ73" s="884"/>
      <c r="FA73" s="884"/>
      <c r="FB73" s="884"/>
      <c r="FC73" s="884"/>
      <c r="FD73" s="884"/>
      <c r="FE73" s="884"/>
      <c r="FF73" s="884"/>
      <c r="FG73" s="884"/>
      <c r="FH73" s="884"/>
      <c r="FI73" s="884"/>
      <c r="FJ73" s="884"/>
      <c r="FK73" s="884"/>
      <c r="FL73" s="884"/>
      <c r="FM73" s="884"/>
      <c r="FN73" s="884"/>
      <c r="FO73" s="884"/>
      <c r="FP73" s="884"/>
      <c r="FQ73" s="884"/>
      <c r="FR73" s="884"/>
      <c r="FS73" s="884"/>
      <c r="FT73" s="884"/>
      <c r="FU73" s="884"/>
      <c r="FV73" s="884"/>
      <c r="FW73" s="884"/>
      <c r="FX73" s="884"/>
      <c r="FY73" s="884"/>
      <c r="FZ73" s="884"/>
      <c r="GA73" s="884"/>
      <c r="GB73" s="884"/>
      <c r="GC73" s="884"/>
      <c r="GD73" s="884"/>
      <c r="GE73" s="884"/>
      <c r="GF73" s="884"/>
      <c r="GG73" s="884"/>
      <c r="GH73" s="884"/>
      <c r="GI73" s="884"/>
      <c r="GJ73" s="884"/>
      <c r="GK73" s="884"/>
      <c r="GL73" s="884"/>
      <c r="GM73" s="884"/>
      <c r="GN73" s="884"/>
      <c r="GO73" s="884"/>
      <c r="GP73" s="884"/>
      <c r="GQ73" s="884"/>
      <c r="GR73" s="884"/>
      <c r="GS73" s="884"/>
      <c r="GT73" s="884"/>
      <c r="GU73" s="884"/>
      <c r="GV73" s="884"/>
      <c r="GW73" s="884"/>
      <c r="GX73" s="884"/>
      <c r="GY73" s="884"/>
      <c r="GZ73" s="884"/>
      <c r="HA73" s="884"/>
      <c r="HB73" s="884"/>
      <c r="HC73" s="884"/>
      <c r="HD73" s="884"/>
      <c r="HE73" s="884"/>
      <c r="HF73" s="884"/>
      <c r="HG73" s="884"/>
      <c r="HH73" s="884"/>
      <c r="HI73" s="884"/>
      <c r="HJ73" s="884"/>
      <c r="HK73" s="884"/>
      <c r="HL73" s="884"/>
      <c r="HM73" s="884"/>
      <c r="HN73" s="884"/>
      <c r="HO73" s="884"/>
      <c r="HP73" s="884"/>
      <c r="HQ73" s="884"/>
      <c r="HR73" s="884"/>
      <c r="HS73" s="884"/>
      <c r="HT73" s="884"/>
      <c r="HU73" s="884"/>
      <c r="HV73" s="884"/>
      <c r="HW73" s="884"/>
      <c r="HX73" s="884"/>
      <c r="HY73" s="884"/>
      <c r="HZ73" s="884"/>
      <c r="IA73" s="884"/>
      <c r="IB73" s="884"/>
      <c r="IC73" s="884"/>
      <c r="ID73" s="884"/>
      <c r="IE73" s="884"/>
      <c r="IF73" s="884"/>
      <c r="IG73" s="884"/>
      <c r="IH73" s="884"/>
      <c r="II73" s="884"/>
      <c r="IJ73" s="884"/>
      <c r="IK73" s="884"/>
      <c r="IL73" s="884"/>
      <c r="IM73" s="884"/>
      <c r="IN73" s="884"/>
      <c r="IO73" s="884"/>
      <c r="IP73" s="884"/>
      <c r="IQ73" s="884"/>
      <c r="IR73" s="884"/>
      <c r="IS73" s="884"/>
      <c r="IT73" s="884"/>
      <c r="IU73" s="884"/>
      <c r="IV73" s="884"/>
      <c r="IW73" s="884"/>
      <c r="IX73" s="884"/>
      <c r="IY73" s="884"/>
      <c r="IZ73" s="884"/>
      <c r="JA73" s="884"/>
      <c r="JB73" s="884"/>
      <c r="JC73" s="884"/>
      <c r="JD73" s="884"/>
      <c r="JE73" s="884"/>
      <c r="JF73" s="884"/>
      <c r="JG73" s="884"/>
      <c r="JH73" s="884"/>
      <c r="JI73" s="884"/>
      <c r="JJ73" s="884"/>
      <c r="JK73" s="884"/>
      <c r="JL73" s="884"/>
      <c r="JM73" s="884"/>
      <c r="JN73" s="884"/>
      <c r="JO73" s="884"/>
      <c r="JP73" s="884"/>
      <c r="JQ73" s="884"/>
      <c r="JR73" s="884"/>
      <c r="JS73" s="884"/>
      <c r="JT73" s="884"/>
      <c r="JU73" s="884"/>
      <c r="JV73" s="884"/>
      <c r="JW73" s="884"/>
    </row>
    <row r="74" spans="1:283" s="883" customFormat="1" ht="15.75" customHeight="1" x14ac:dyDescent="0.2">
      <c r="A74" s="953"/>
      <c r="B74" s="954"/>
      <c r="C74" s="4062"/>
      <c r="D74" s="4063"/>
      <c r="E74" s="962">
        <v>62</v>
      </c>
      <c r="F74" s="963" t="s">
        <v>860</v>
      </c>
      <c r="G74" s="964"/>
      <c r="H74" s="965"/>
      <c r="I74" s="965"/>
      <c r="J74" s="964"/>
      <c r="K74" s="964"/>
      <c r="L74" s="964"/>
      <c r="M74" s="966"/>
      <c r="N74" s="967"/>
      <c r="O74" s="968"/>
      <c r="P74" s="965"/>
      <c r="Q74" s="965"/>
      <c r="R74" s="965"/>
      <c r="S74" s="965"/>
      <c r="T74" s="4561"/>
      <c r="U74" s="4561"/>
      <c r="V74" s="974"/>
      <c r="W74" s="974"/>
      <c r="X74" s="964"/>
      <c r="Y74" s="964"/>
      <c r="Z74" s="964"/>
      <c r="AA74" s="964"/>
      <c r="AB74" s="964"/>
      <c r="AC74" s="964"/>
      <c r="AD74" s="964"/>
      <c r="AE74" s="964"/>
      <c r="AF74" s="964"/>
      <c r="AG74" s="964"/>
      <c r="AH74" s="964"/>
      <c r="AI74" s="964"/>
      <c r="AJ74" s="964"/>
      <c r="AK74" s="964"/>
      <c r="AL74" s="964"/>
      <c r="AM74" s="964"/>
      <c r="AN74" s="969"/>
      <c r="AT74" s="884"/>
      <c r="AU74" s="884"/>
      <c r="AV74" s="884"/>
      <c r="AW74" s="884"/>
      <c r="AX74" s="884"/>
      <c r="AY74" s="884"/>
      <c r="AZ74" s="884"/>
      <c r="BA74" s="884"/>
      <c r="BB74" s="884"/>
      <c r="BC74" s="884"/>
      <c r="BD74" s="884"/>
      <c r="BE74" s="884"/>
      <c r="BF74" s="884"/>
      <c r="BG74" s="884"/>
      <c r="BH74" s="884"/>
      <c r="BI74" s="884"/>
      <c r="BJ74" s="884"/>
      <c r="BK74" s="884"/>
      <c r="BL74" s="884"/>
      <c r="BM74" s="884"/>
      <c r="BN74" s="884"/>
      <c r="BO74" s="884"/>
      <c r="BP74" s="884"/>
      <c r="BQ74" s="884"/>
      <c r="BR74" s="884"/>
      <c r="BS74" s="884"/>
      <c r="BT74" s="884"/>
      <c r="BU74" s="884"/>
      <c r="BV74" s="884"/>
      <c r="BW74" s="884"/>
      <c r="BX74" s="884"/>
      <c r="BY74" s="884"/>
      <c r="BZ74" s="884"/>
      <c r="CA74" s="884"/>
      <c r="CB74" s="884"/>
      <c r="CC74" s="884"/>
      <c r="CD74" s="884"/>
      <c r="CE74" s="884"/>
      <c r="CF74" s="884"/>
      <c r="CG74" s="884"/>
      <c r="CH74" s="884"/>
      <c r="CI74" s="884"/>
      <c r="CJ74" s="884"/>
      <c r="CK74" s="884"/>
      <c r="CL74" s="884"/>
      <c r="CM74" s="884"/>
      <c r="CN74" s="884"/>
      <c r="CO74" s="884"/>
      <c r="CP74" s="884"/>
      <c r="CQ74" s="884"/>
      <c r="CR74" s="884"/>
      <c r="CS74" s="884"/>
      <c r="CT74" s="884"/>
      <c r="CU74" s="884"/>
      <c r="CV74" s="884"/>
      <c r="CW74" s="884"/>
      <c r="CX74" s="884"/>
      <c r="CY74" s="884"/>
      <c r="CZ74" s="884"/>
      <c r="DA74" s="884"/>
      <c r="DB74" s="884"/>
      <c r="DC74" s="884"/>
      <c r="DD74" s="884"/>
      <c r="DE74" s="884"/>
      <c r="DF74" s="884"/>
      <c r="DG74" s="884"/>
      <c r="DH74" s="884"/>
      <c r="DI74" s="884"/>
      <c r="DJ74" s="884"/>
      <c r="DK74" s="884"/>
      <c r="DL74" s="884"/>
      <c r="DM74" s="884"/>
      <c r="DN74" s="884"/>
      <c r="DO74" s="884"/>
      <c r="DP74" s="884"/>
      <c r="DQ74" s="884"/>
      <c r="DR74" s="884"/>
      <c r="DS74" s="884"/>
      <c r="DT74" s="884"/>
      <c r="DU74" s="884"/>
      <c r="DV74" s="884"/>
      <c r="DW74" s="884"/>
      <c r="DX74" s="884"/>
      <c r="DY74" s="884"/>
      <c r="DZ74" s="884"/>
      <c r="EA74" s="884"/>
      <c r="EB74" s="884"/>
      <c r="EC74" s="884"/>
      <c r="ED74" s="884"/>
      <c r="EE74" s="884"/>
      <c r="EF74" s="884"/>
      <c r="EG74" s="884"/>
      <c r="EH74" s="884"/>
      <c r="EI74" s="884"/>
      <c r="EJ74" s="884"/>
      <c r="EK74" s="884"/>
      <c r="EL74" s="884"/>
      <c r="EM74" s="884"/>
      <c r="EN74" s="884"/>
      <c r="EO74" s="884"/>
      <c r="EP74" s="884"/>
      <c r="EQ74" s="884"/>
      <c r="ER74" s="884"/>
      <c r="ES74" s="884"/>
      <c r="ET74" s="884"/>
      <c r="EU74" s="884"/>
      <c r="EV74" s="884"/>
      <c r="EW74" s="884"/>
      <c r="EX74" s="884"/>
      <c r="EY74" s="884"/>
      <c r="EZ74" s="884"/>
      <c r="FA74" s="884"/>
      <c r="FB74" s="884"/>
      <c r="FC74" s="884"/>
      <c r="FD74" s="884"/>
      <c r="FE74" s="884"/>
      <c r="FF74" s="884"/>
      <c r="FG74" s="884"/>
      <c r="FH74" s="884"/>
      <c r="FI74" s="884"/>
      <c r="FJ74" s="884"/>
      <c r="FK74" s="884"/>
      <c r="FL74" s="884"/>
      <c r="FM74" s="884"/>
      <c r="FN74" s="884"/>
      <c r="FO74" s="884"/>
      <c r="FP74" s="884"/>
      <c r="FQ74" s="884"/>
      <c r="FR74" s="884"/>
      <c r="FS74" s="884"/>
      <c r="FT74" s="884"/>
      <c r="FU74" s="884"/>
      <c r="FV74" s="884"/>
      <c r="FW74" s="884"/>
      <c r="FX74" s="884"/>
      <c r="FY74" s="884"/>
      <c r="FZ74" s="884"/>
      <c r="GA74" s="884"/>
      <c r="GB74" s="884"/>
      <c r="GC74" s="884"/>
      <c r="GD74" s="884"/>
      <c r="GE74" s="884"/>
      <c r="GF74" s="884"/>
      <c r="GG74" s="884"/>
      <c r="GH74" s="884"/>
      <c r="GI74" s="884"/>
      <c r="GJ74" s="884"/>
      <c r="GK74" s="884"/>
      <c r="GL74" s="884"/>
      <c r="GM74" s="884"/>
      <c r="GN74" s="884"/>
      <c r="GO74" s="884"/>
      <c r="GP74" s="884"/>
      <c r="GQ74" s="884"/>
      <c r="GR74" s="884"/>
      <c r="GS74" s="884"/>
      <c r="GT74" s="884"/>
      <c r="GU74" s="884"/>
      <c r="GV74" s="884"/>
      <c r="GW74" s="884"/>
      <c r="GX74" s="884"/>
      <c r="GY74" s="884"/>
      <c r="GZ74" s="884"/>
      <c r="HA74" s="884"/>
      <c r="HB74" s="884"/>
      <c r="HC74" s="884"/>
      <c r="HD74" s="884"/>
      <c r="HE74" s="884"/>
      <c r="HF74" s="884"/>
      <c r="HG74" s="884"/>
      <c r="HH74" s="884"/>
      <c r="HI74" s="884"/>
      <c r="HJ74" s="884"/>
      <c r="HK74" s="884"/>
      <c r="HL74" s="884"/>
      <c r="HM74" s="884"/>
      <c r="HN74" s="884"/>
      <c r="HO74" s="884"/>
      <c r="HP74" s="884"/>
      <c r="HQ74" s="884"/>
      <c r="HR74" s="884"/>
      <c r="HS74" s="884"/>
      <c r="HT74" s="884"/>
      <c r="HU74" s="884"/>
      <c r="HV74" s="884"/>
      <c r="HW74" s="884"/>
      <c r="HX74" s="884"/>
      <c r="HY74" s="884"/>
      <c r="HZ74" s="884"/>
      <c r="IA74" s="884"/>
      <c r="IB74" s="884"/>
      <c r="IC74" s="884"/>
      <c r="ID74" s="884"/>
      <c r="IE74" s="884"/>
      <c r="IF74" s="884"/>
      <c r="IG74" s="884"/>
      <c r="IH74" s="884"/>
      <c r="II74" s="884"/>
      <c r="IJ74" s="884"/>
      <c r="IK74" s="884"/>
      <c r="IL74" s="884"/>
      <c r="IM74" s="884"/>
      <c r="IN74" s="884"/>
      <c r="IO74" s="884"/>
      <c r="IP74" s="884"/>
      <c r="IQ74" s="884"/>
      <c r="IR74" s="884"/>
      <c r="IS74" s="884"/>
      <c r="IT74" s="884"/>
      <c r="IU74" s="884"/>
      <c r="IV74" s="884"/>
      <c r="IW74" s="884"/>
      <c r="IX74" s="884"/>
      <c r="IY74" s="884"/>
      <c r="IZ74" s="884"/>
      <c r="JA74" s="884"/>
      <c r="JB74" s="884"/>
      <c r="JC74" s="884"/>
      <c r="JD74" s="884"/>
      <c r="JE74" s="884"/>
      <c r="JF74" s="884"/>
      <c r="JG74" s="884"/>
      <c r="JH74" s="884"/>
      <c r="JI74" s="884"/>
      <c r="JJ74" s="884"/>
      <c r="JK74" s="884"/>
      <c r="JL74" s="884"/>
      <c r="JM74" s="884"/>
      <c r="JN74" s="884"/>
      <c r="JO74" s="884"/>
      <c r="JP74" s="884"/>
      <c r="JQ74" s="884"/>
      <c r="JR74" s="884"/>
      <c r="JS74" s="884"/>
      <c r="JT74" s="884"/>
      <c r="JU74" s="884"/>
      <c r="JV74" s="884"/>
      <c r="JW74" s="884"/>
    </row>
    <row r="75" spans="1:283" s="883" customFormat="1" ht="30" x14ac:dyDescent="0.2">
      <c r="A75" s="953"/>
      <c r="B75" s="954"/>
      <c r="C75" s="4062"/>
      <c r="D75" s="4063"/>
      <c r="E75" s="970"/>
      <c r="F75" s="975"/>
      <c r="G75" s="4090">
        <v>191</v>
      </c>
      <c r="H75" s="4091" t="s">
        <v>861</v>
      </c>
      <c r="I75" s="4092" t="s">
        <v>862</v>
      </c>
      <c r="J75" s="4093">
        <v>1</v>
      </c>
      <c r="K75" s="4094" t="s">
        <v>863</v>
      </c>
      <c r="L75" s="4079" t="s">
        <v>864</v>
      </c>
      <c r="M75" s="4102" t="s">
        <v>865</v>
      </c>
      <c r="N75" s="4082">
        <v>1</v>
      </c>
      <c r="O75" s="4103">
        <f>SUM(S75:S91)</f>
        <v>1008600000</v>
      </c>
      <c r="P75" s="4081" t="s">
        <v>866</v>
      </c>
      <c r="Q75" s="2660" t="s">
        <v>867</v>
      </c>
      <c r="R75" s="976" t="s">
        <v>868</v>
      </c>
      <c r="S75" s="912">
        <v>50000000</v>
      </c>
      <c r="T75" s="2490" t="s">
        <v>61</v>
      </c>
      <c r="U75" s="2485" t="s">
        <v>357</v>
      </c>
      <c r="V75" s="4095"/>
      <c r="W75" s="4095"/>
      <c r="X75" s="4099"/>
      <c r="Y75" s="4096"/>
      <c r="Z75" s="4096"/>
      <c r="AA75" s="4096"/>
      <c r="AB75" s="4096"/>
      <c r="AC75" s="4096"/>
      <c r="AD75" s="4096"/>
      <c r="AE75" s="4096"/>
      <c r="AF75" s="4096"/>
      <c r="AG75" s="4096"/>
      <c r="AH75" s="4096"/>
      <c r="AI75" s="4096"/>
      <c r="AJ75" s="4096"/>
      <c r="AK75" s="4096"/>
      <c r="AL75" s="4107">
        <v>43467</v>
      </c>
      <c r="AM75" s="4107">
        <v>43830</v>
      </c>
      <c r="AN75" s="4106" t="s">
        <v>751</v>
      </c>
      <c r="AT75" s="884"/>
      <c r="AU75" s="884"/>
      <c r="AV75" s="884"/>
      <c r="AW75" s="884"/>
      <c r="AX75" s="884"/>
      <c r="AY75" s="884"/>
      <c r="AZ75" s="884"/>
      <c r="BA75" s="884"/>
      <c r="BB75" s="884"/>
      <c r="BC75" s="884"/>
      <c r="BD75" s="884"/>
      <c r="BE75" s="884"/>
      <c r="BF75" s="884"/>
      <c r="BG75" s="884"/>
      <c r="BH75" s="884"/>
      <c r="BI75" s="884"/>
      <c r="BJ75" s="884"/>
      <c r="BK75" s="884"/>
      <c r="BL75" s="884"/>
      <c r="BM75" s="884"/>
      <c r="BN75" s="884"/>
      <c r="BO75" s="884"/>
      <c r="BP75" s="884"/>
      <c r="BQ75" s="884"/>
      <c r="BR75" s="884"/>
      <c r="BS75" s="884"/>
      <c r="BT75" s="884"/>
      <c r="BU75" s="884"/>
      <c r="BV75" s="884"/>
      <c r="BW75" s="884"/>
      <c r="BX75" s="884"/>
      <c r="BY75" s="884"/>
      <c r="BZ75" s="884"/>
      <c r="CA75" s="884"/>
      <c r="CB75" s="884"/>
      <c r="CC75" s="884"/>
      <c r="CD75" s="884"/>
      <c r="CE75" s="884"/>
      <c r="CF75" s="884"/>
      <c r="CG75" s="884"/>
      <c r="CH75" s="884"/>
      <c r="CI75" s="884"/>
      <c r="CJ75" s="884"/>
      <c r="CK75" s="884"/>
      <c r="CL75" s="884"/>
      <c r="CM75" s="884"/>
      <c r="CN75" s="884"/>
      <c r="CO75" s="884"/>
      <c r="CP75" s="884"/>
      <c r="CQ75" s="884"/>
      <c r="CR75" s="884"/>
      <c r="CS75" s="884"/>
      <c r="CT75" s="884"/>
      <c r="CU75" s="884"/>
      <c r="CV75" s="884"/>
      <c r="CW75" s="884"/>
      <c r="CX75" s="884"/>
      <c r="CY75" s="884"/>
      <c r="CZ75" s="884"/>
      <c r="DA75" s="884"/>
      <c r="DB75" s="884"/>
      <c r="DC75" s="884"/>
      <c r="DD75" s="884"/>
      <c r="DE75" s="884"/>
      <c r="DF75" s="884"/>
      <c r="DG75" s="884"/>
      <c r="DH75" s="884"/>
      <c r="DI75" s="884"/>
      <c r="DJ75" s="884"/>
      <c r="DK75" s="884"/>
      <c r="DL75" s="884"/>
      <c r="DM75" s="884"/>
      <c r="DN75" s="884"/>
      <c r="DO75" s="884"/>
      <c r="DP75" s="884"/>
      <c r="DQ75" s="884"/>
      <c r="DR75" s="884"/>
      <c r="DS75" s="884"/>
      <c r="DT75" s="884"/>
      <c r="DU75" s="884"/>
      <c r="DV75" s="884"/>
      <c r="DW75" s="884"/>
      <c r="DX75" s="884"/>
      <c r="DY75" s="884"/>
      <c r="DZ75" s="884"/>
      <c r="EA75" s="884"/>
      <c r="EB75" s="884"/>
      <c r="EC75" s="884"/>
      <c r="ED75" s="884"/>
      <c r="EE75" s="884"/>
      <c r="EF75" s="884"/>
      <c r="EG75" s="884"/>
      <c r="EH75" s="884"/>
      <c r="EI75" s="884"/>
      <c r="EJ75" s="884"/>
      <c r="EK75" s="884"/>
      <c r="EL75" s="884"/>
      <c r="EM75" s="884"/>
      <c r="EN75" s="884"/>
      <c r="EO75" s="884"/>
      <c r="EP75" s="884"/>
      <c r="EQ75" s="884"/>
      <c r="ER75" s="884"/>
      <c r="ES75" s="884"/>
      <c r="ET75" s="884"/>
      <c r="EU75" s="884"/>
      <c r="EV75" s="884"/>
      <c r="EW75" s="884"/>
      <c r="EX75" s="884"/>
      <c r="EY75" s="884"/>
      <c r="EZ75" s="884"/>
      <c r="FA75" s="884"/>
      <c r="FB75" s="884"/>
      <c r="FC75" s="884"/>
      <c r="FD75" s="884"/>
      <c r="FE75" s="884"/>
      <c r="FF75" s="884"/>
      <c r="FG75" s="884"/>
      <c r="FH75" s="884"/>
      <c r="FI75" s="884"/>
      <c r="FJ75" s="884"/>
      <c r="FK75" s="884"/>
      <c r="FL75" s="884"/>
      <c r="FM75" s="884"/>
      <c r="FN75" s="884"/>
      <c r="FO75" s="884"/>
      <c r="FP75" s="884"/>
      <c r="FQ75" s="884"/>
      <c r="FR75" s="884"/>
      <c r="FS75" s="884"/>
      <c r="FT75" s="884"/>
      <c r="FU75" s="884"/>
      <c r="FV75" s="884"/>
      <c r="FW75" s="884"/>
      <c r="FX75" s="884"/>
      <c r="FY75" s="884"/>
      <c r="FZ75" s="884"/>
      <c r="GA75" s="884"/>
      <c r="GB75" s="884"/>
      <c r="GC75" s="884"/>
      <c r="GD75" s="884"/>
      <c r="GE75" s="884"/>
      <c r="GF75" s="884"/>
      <c r="GG75" s="884"/>
      <c r="GH75" s="884"/>
      <c r="GI75" s="884"/>
      <c r="GJ75" s="884"/>
      <c r="GK75" s="884"/>
      <c r="GL75" s="884"/>
      <c r="GM75" s="884"/>
      <c r="GN75" s="884"/>
      <c r="GO75" s="884"/>
      <c r="GP75" s="884"/>
      <c r="GQ75" s="884"/>
      <c r="GR75" s="884"/>
      <c r="GS75" s="884"/>
      <c r="GT75" s="884"/>
      <c r="GU75" s="884"/>
      <c r="GV75" s="884"/>
      <c r="GW75" s="884"/>
      <c r="GX75" s="884"/>
      <c r="GY75" s="884"/>
      <c r="GZ75" s="884"/>
      <c r="HA75" s="884"/>
      <c r="HB75" s="884"/>
      <c r="HC75" s="884"/>
      <c r="HD75" s="884"/>
      <c r="HE75" s="884"/>
      <c r="HF75" s="884"/>
      <c r="HG75" s="884"/>
      <c r="HH75" s="884"/>
      <c r="HI75" s="884"/>
      <c r="HJ75" s="884"/>
      <c r="HK75" s="884"/>
      <c r="HL75" s="884"/>
      <c r="HM75" s="884"/>
      <c r="HN75" s="884"/>
      <c r="HO75" s="884"/>
      <c r="HP75" s="884"/>
      <c r="HQ75" s="884"/>
      <c r="HR75" s="884"/>
      <c r="HS75" s="884"/>
      <c r="HT75" s="884"/>
      <c r="HU75" s="884"/>
      <c r="HV75" s="884"/>
      <c r="HW75" s="884"/>
      <c r="HX75" s="884"/>
      <c r="HY75" s="884"/>
      <c r="HZ75" s="884"/>
      <c r="IA75" s="884"/>
      <c r="IB75" s="884"/>
      <c r="IC75" s="884"/>
      <c r="ID75" s="884"/>
      <c r="IE75" s="884"/>
      <c r="IF75" s="884"/>
      <c r="IG75" s="884"/>
      <c r="IH75" s="884"/>
      <c r="II75" s="884"/>
      <c r="IJ75" s="884"/>
      <c r="IK75" s="884"/>
      <c r="IL75" s="884"/>
      <c r="IM75" s="884"/>
      <c r="IN75" s="884"/>
      <c r="IO75" s="884"/>
      <c r="IP75" s="884"/>
      <c r="IQ75" s="884"/>
      <c r="IR75" s="884"/>
      <c r="IS75" s="884"/>
      <c r="IT75" s="884"/>
      <c r="IU75" s="884"/>
      <c r="IV75" s="884"/>
      <c r="IW75" s="884"/>
      <c r="IX75" s="884"/>
      <c r="IY75" s="884"/>
      <c r="IZ75" s="884"/>
      <c r="JA75" s="884"/>
      <c r="JB75" s="884"/>
      <c r="JC75" s="884"/>
      <c r="JD75" s="884"/>
      <c r="JE75" s="884"/>
      <c r="JF75" s="884"/>
      <c r="JG75" s="884"/>
      <c r="JH75" s="884"/>
      <c r="JI75" s="884"/>
      <c r="JJ75" s="884"/>
      <c r="JK75" s="884"/>
      <c r="JL75" s="884"/>
      <c r="JM75" s="884"/>
      <c r="JN75" s="884"/>
      <c r="JO75" s="884"/>
      <c r="JP75" s="884"/>
      <c r="JQ75" s="884"/>
      <c r="JR75" s="884"/>
      <c r="JS75" s="884"/>
      <c r="JT75" s="884"/>
      <c r="JU75" s="884"/>
      <c r="JV75" s="884"/>
      <c r="JW75" s="884"/>
    </row>
    <row r="76" spans="1:283" s="883" customFormat="1" ht="42.75" x14ac:dyDescent="0.2">
      <c r="A76" s="953"/>
      <c r="B76" s="954"/>
      <c r="C76" s="4062"/>
      <c r="D76" s="4063"/>
      <c r="E76" s="973"/>
      <c r="F76" s="971"/>
      <c r="G76" s="4090"/>
      <c r="H76" s="4091"/>
      <c r="I76" s="4092"/>
      <c r="J76" s="4093"/>
      <c r="K76" s="4094"/>
      <c r="L76" s="4079"/>
      <c r="M76" s="4102"/>
      <c r="N76" s="4083"/>
      <c r="O76" s="4103"/>
      <c r="P76" s="4081"/>
      <c r="Q76" s="4105"/>
      <c r="R76" s="976" t="s">
        <v>869</v>
      </c>
      <c r="S76" s="912">
        <v>20000000</v>
      </c>
      <c r="T76" s="2490" t="s">
        <v>61</v>
      </c>
      <c r="U76" s="2485" t="s">
        <v>357</v>
      </c>
      <c r="V76" s="4095"/>
      <c r="W76" s="4095"/>
      <c r="X76" s="4100"/>
      <c r="Y76" s="4101"/>
      <c r="Z76" s="4101"/>
      <c r="AA76" s="4101"/>
      <c r="AB76" s="4101"/>
      <c r="AC76" s="4101"/>
      <c r="AD76" s="4101"/>
      <c r="AE76" s="4101"/>
      <c r="AF76" s="4101"/>
      <c r="AG76" s="4101"/>
      <c r="AH76" s="4101"/>
      <c r="AI76" s="4101"/>
      <c r="AJ76" s="4101"/>
      <c r="AK76" s="4101"/>
      <c r="AL76" s="4107"/>
      <c r="AM76" s="4107"/>
      <c r="AN76" s="4106"/>
      <c r="AT76" s="884"/>
      <c r="AU76" s="884"/>
      <c r="AV76" s="884"/>
      <c r="AW76" s="884"/>
      <c r="AX76" s="884"/>
      <c r="AY76" s="884"/>
      <c r="AZ76" s="884"/>
      <c r="BA76" s="884"/>
      <c r="BB76" s="884"/>
      <c r="BC76" s="884"/>
      <c r="BD76" s="884"/>
      <c r="BE76" s="884"/>
      <c r="BF76" s="884"/>
      <c r="BG76" s="884"/>
      <c r="BH76" s="884"/>
      <c r="BI76" s="884"/>
      <c r="BJ76" s="884"/>
      <c r="BK76" s="884"/>
      <c r="BL76" s="884"/>
      <c r="BM76" s="884"/>
      <c r="BN76" s="884"/>
      <c r="BO76" s="884"/>
      <c r="BP76" s="884"/>
      <c r="BQ76" s="884"/>
      <c r="BR76" s="884"/>
      <c r="BS76" s="884"/>
      <c r="BT76" s="884"/>
      <c r="BU76" s="884"/>
      <c r="BV76" s="884"/>
      <c r="BW76" s="884"/>
      <c r="BX76" s="884"/>
      <c r="BY76" s="884"/>
      <c r="BZ76" s="884"/>
      <c r="CA76" s="884"/>
      <c r="CB76" s="884"/>
      <c r="CC76" s="884"/>
      <c r="CD76" s="884"/>
      <c r="CE76" s="884"/>
      <c r="CF76" s="884"/>
      <c r="CG76" s="884"/>
      <c r="CH76" s="884"/>
      <c r="CI76" s="884"/>
      <c r="CJ76" s="884"/>
      <c r="CK76" s="884"/>
      <c r="CL76" s="884"/>
      <c r="CM76" s="884"/>
      <c r="CN76" s="884"/>
      <c r="CO76" s="884"/>
      <c r="CP76" s="884"/>
      <c r="CQ76" s="884"/>
      <c r="CR76" s="884"/>
      <c r="CS76" s="884"/>
      <c r="CT76" s="884"/>
      <c r="CU76" s="884"/>
      <c r="CV76" s="884"/>
      <c r="CW76" s="884"/>
      <c r="CX76" s="884"/>
      <c r="CY76" s="884"/>
      <c r="CZ76" s="884"/>
      <c r="DA76" s="884"/>
      <c r="DB76" s="884"/>
      <c r="DC76" s="884"/>
      <c r="DD76" s="884"/>
      <c r="DE76" s="884"/>
      <c r="DF76" s="884"/>
      <c r="DG76" s="884"/>
      <c r="DH76" s="884"/>
      <c r="DI76" s="884"/>
      <c r="DJ76" s="884"/>
      <c r="DK76" s="884"/>
      <c r="DL76" s="884"/>
      <c r="DM76" s="884"/>
      <c r="DN76" s="884"/>
      <c r="DO76" s="884"/>
      <c r="DP76" s="884"/>
      <c r="DQ76" s="884"/>
      <c r="DR76" s="884"/>
      <c r="DS76" s="884"/>
      <c r="DT76" s="884"/>
      <c r="DU76" s="884"/>
      <c r="DV76" s="884"/>
      <c r="DW76" s="884"/>
      <c r="DX76" s="884"/>
      <c r="DY76" s="884"/>
      <c r="DZ76" s="884"/>
      <c r="EA76" s="884"/>
      <c r="EB76" s="884"/>
      <c r="EC76" s="884"/>
      <c r="ED76" s="884"/>
      <c r="EE76" s="884"/>
      <c r="EF76" s="884"/>
      <c r="EG76" s="884"/>
      <c r="EH76" s="884"/>
      <c r="EI76" s="884"/>
      <c r="EJ76" s="884"/>
      <c r="EK76" s="884"/>
      <c r="EL76" s="884"/>
      <c r="EM76" s="884"/>
      <c r="EN76" s="884"/>
      <c r="EO76" s="884"/>
      <c r="EP76" s="884"/>
      <c r="EQ76" s="884"/>
      <c r="ER76" s="884"/>
      <c r="ES76" s="884"/>
      <c r="ET76" s="884"/>
      <c r="EU76" s="884"/>
      <c r="EV76" s="884"/>
      <c r="EW76" s="884"/>
      <c r="EX76" s="884"/>
      <c r="EY76" s="884"/>
      <c r="EZ76" s="884"/>
      <c r="FA76" s="884"/>
      <c r="FB76" s="884"/>
      <c r="FC76" s="884"/>
      <c r="FD76" s="884"/>
      <c r="FE76" s="884"/>
      <c r="FF76" s="884"/>
      <c r="FG76" s="884"/>
      <c r="FH76" s="884"/>
      <c r="FI76" s="884"/>
      <c r="FJ76" s="884"/>
      <c r="FK76" s="884"/>
      <c r="FL76" s="884"/>
      <c r="FM76" s="884"/>
      <c r="FN76" s="884"/>
      <c r="FO76" s="884"/>
      <c r="FP76" s="884"/>
      <c r="FQ76" s="884"/>
      <c r="FR76" s="884"/>
      <c r="FS76" s="884"/>
      <c r="FT76" s="884"/>
      <c r="FU76" s="884"/>
      <c r="FV76" s="884"/>
      <c r="FW76" s="884"/>
      <c r="FX76" s="884"/>
      <c r="FY76" s="884"/>
      <c r="FZ76" s="884"/>
      <c r="GA76" s="884"/>
      <c r="GB76" s="884"/>
      <c r="GC76" s="884"/>
      <c r="GD76" s="884"/>
      <c r="GE76" s="884"/>
      <c r="GF76" s="884"/>
      <c r="GG76" s="884"/>
      <c r="GH76" s="884"/>
      <c r="GI76" s="884"/>
      <c r="GJ76" s="884"/>
      <c r="GK76" s="884"/>
      <c r="GL76" s="884"/>
      <c r="GM76" s="884"/>
      <c r="GN76" s="884"/>
      <c r="GO76" s="884"/>
      <c r="GP76" s="884"/>
      <c r="GQ76" s="884"/>
      <c r="GR76" s="884"/>
      <c r="GS76" s="884"/>
      <c r="GT76" s="884"/>
      <c r="GU76" s="884"/>
      <c r="GV76" s="884"/>
      <c r="GW76" s="884"/>
      <c r="GX76" s="884"/>
      <c r="GY76" s="884"/>
      <c r="GZ76" s="884"/>
      <c r="HA76" s="884"/>
      <c r="HB76" s="884"/>
      <c r="HC76" s="884"/>
      <c r="HD76" s="884"/>
      <c r="HE76" s="884"/>
      <c r="HF76" s="884"/>
      <c r="HG76" s="884"/>
      <c r="HH76" s="884"/>
      <c r="HI76" s="884"/>
      <c r="HJ76" s="884"/>
      <c r="HK76" s="884"/>
      <c r="HL76" s="884"/>
      <c r="HM76" s="884"/>
      <c r="HN76" s="884"/>
      <c r="HO76" s="884"/>
      <c r="HP76" s="884"/>
      <c r="HQ76" s="884"/>
      <c r="HR76" s="884"/>
      <c r="HS76" s="884"/>
      <c r="HT76" s="884"/>
      <c r="HU76" s="884"/>
      <c r="HV76" s="884"/>
      <c r="HW76" s="884"/>
      <c r="HX76" s="884"/>
      <c r="HY76" s="884"/>
      <c r="HZ76" s="884"/>
      <c r="IA76" s="884"/>
      <c r="IB76" s="884"/>
      <c r="IC76" s="884"/>
      <c r="ID76" s="884"/>
      <c r="IE76" s="884"/>
      <c r="IF76" s="884"/>
      <c r="IG76" s="884"/>
      <c r="IH76" s="884"/>
      <c r="II76" s="884"/>
      <c r="IJ76" s="884"/>
      <c r="IK76" s="884"/>
      <c r="IL76" s="884"/>
      <c r="IM76" s="884"/>
      <c r="IN76" s="884"/>
      <c r="IO76" s="884"/>
      <c r="IP76" s="884"/>
      <c r="IQ76" s="884"/>
      <c r="IR76" s="884"/>
      <c r="IS76" s="884"/>
      <c r="IT76" s="884"/>
      <c r="IU76" s="884"/>
      <c r="IV76" s="884"/>
      <c r="IW76" s="884"/>
      <c r="IX76" s="884"/>
      <c r="IY76" s="884"/>
      <c r="IZ76" s="884"/>
      <c r="JA76" s="884"/>
      <c r="JB76" s="884"/>
      <c r="JC76" s="884"/>
      <c r="JD76" s="884"/>
      <c r="JE76" s="884"/>
      <c r="JF76" s="884"/>
      <c r="JG76" s="884"/>
      <c r="JH76" s="884"/>
      <c r="JI76" s="884"/>
      <c r="JJ76" s="884"/>
      <c r="JK76" s="884"/>
      <c r="JL76" s="884"/>
      <c r="JM76" s="884"/>
      <c r="JN76" s="884"/>
      <c r="JO76" s="884"/>
      <c r="JP76" s="884"/>
      <c r="JQ76" s="884"/>
      <c r="JR76" s="884"/>
      <c r="JS76" s="884"/>
      <c r="JT76" s="884"/>
      <c r="JU76" s="884"/>
      <c r="JV76" s="884"/>
      <c r="JW76" s="884"/>
    </row>
    <row r="77" spans="1:283" s="883" customFormat="1" ht="30" x14ac:dyDescent="0.2">
      <c r="A77" s="953"/>
      <c r="B77" s="954"/>
      <c r="C77" s="4062"/>
      <c r="D77" s="4063"/>
      <c r="E77" s="973"/>
      <c r="F77" s="971"/>
      <c r="G77" s="4090"/>
      <c r="H77" s="4091"/>
      <c r="I77" s="4092"/>
      <c r="J77" s="4093"/>
      <c r="K77" s="4094"/>
      <c r="L77" s="4079"/>
      <c r="M77" s="4102"/>
      <c r="N77" s="4083"/>
      <c r="O77" s="4103"/>
      <c r="P77" s="4081"/>
      <c r="Q77" s="4105"/>
      <c r="R77" s="976" t="s">
        <v>870</v>
      </c>
      <c r="S77" s="912">
        <v>50000000</v>
      </c>
      <c r="T77" s="2490" t="s">
        <v>61</v>
      </c>
      <c r="U77" s="2485" t="s">
        <v>357</v>
      </c>
      <c r="V77" s="4095"/>
      <c r="W77" s="4095"/>
      <c r="X77" s="4100"/>
      <c r="Y77" s="4101"/>
      <c r="Z77" s="4101"/>
      <c r="AA77" s="4101"/>
      <c r="AB77" s="4101"/>
      <c r="AC77" s="4101"/>
      <c r="AD77" s="4101"/>
      <c r="AE77" s="4101"/>
      <c r="AF77" s="4101"/>
      <c r="AG77" s="4101"/>
      <c r="AH77" s="4101"/>
      <c r="AI77" s="4101"/>
      <c r="AJ77" s="4101"/>
      <c r="AK77" s="4101"/>
      <c r="AL77" s="4107"/>
      <c r="AM77" s="4107"/>
      <c r="AN77" s="4106"/>
      <c r="AT77" s="884"/>
      <c r="AU77" s="884"/>
      <c r="AV77" s="884"/>
      <c r="AW77" s="884"/>
      <c r="AX77" s="884"/>
      <c r="AY77" s="884"/>
      <c r="AZ77" s="884"/>
      <c r="BA77" s="884"/>
      <c r="BB77" s="884"/>
      <c r="BC77" s="884"/>
      <c r="BD77" s="884"/>
      <c r="BE77" s="884"/>
      <c r="BF77" s="884"/>
      <c r="BG77" s="884"/>
      <c r="BH77" s="884"/>
      <c r="BI77" s="884"/>
      <c r="BJ77" s="884"/>
      <c r="BK77" s="884"/>
      <c r="BL77" s="884"/>
      <c r="BM77" s="884"/>
      <c r="BN77" s="884"/>
      <c r="BO77" s="884"/>
      <c r="BP77" s="884"/>
      <c r="BQ77" s="884"/>
      <c r="BR77" s="884"/>
      <c r="BS77" s="884"/>
      <c r="BT77" s="884"/>
      <c r="BU77" s="884"/>
      <c r="BV77" s="884"/>
      <c r="BW77" s="884"/>
      <c r="BX77" s="884"/>
      <c r="BY77" s="884"/>
      <c r="BZ77" s="884"/>
      <c r="CA77" s="884"/>
      <c r="CB77" s="884"/>
      <c r="CC77" s="884"/>
      <c r="CD77" s="884"/>
      <c r="CE77" s="884"/>
      <c r="CF77" s="884"/>
      <c r="CG77" s="884"/>
      <c r="CH77" s="884"/>
      <c r="CI77" s="884"/>
      <c r="CJ77" s="884"/>
      <c r="CK77" s="884"/>
      <c r="CL77" s="884"/>
      <c r="CM77" s="884"/>
      <c r="CN77" s="884"/>
      <c r="CO77" s="884"/>
      <c r="CP77" s="884"/>
      <c r="CQ77" s="884"/>
      <c r="CR77" s="884"/>
      <c r="CS77" s="884"/>
      <c r="CT77" s="884"/>
      <c r="CU77" s="884"/>
      <c r="CV77" s="884"/>
      <c r="CW77" s="884"/>
      <c r="CX77" s="884"/>
      <c r="CY77" s="884"/>
      <c r="CZ77" s="884"/>
      <c r="DA77" s="884"/>
      <c r="DB77" s="884"/>
      <c r="DC77" s="884"/>
      <c r="DD77" s="884"/>
      <c r="DE77" s="884"/>
      <c r="DF77" s="884"/>
      <c r="DG77" s="884"/>
      <c r="DH77" s="884"/>
      <c r="DI77" s="884"/>
      <c r="DJ77" s="884"/>
      <c r="DK77" s="884"/>
      <c r="DL77" s="884"/>
      <c r="DM77" s="884"/>
      <c r="DN77" s="884"/>
      <c r="DO77" s="884"/>
      <c r="DP77" s="884"/>
      <c r="DQ77" s="884"/>
      <c r="DR77" s="884"/>
      <c r="DS77" s="884"/>
      <c r="DT77" s="884"/>
      <c r="DU77" s="884"/>
      <c r="DV77" s="884"/>
      <c r="DW77" s="884"/>
      <c r="DX77" s="884"/>
      <c r="DY77" s="884"/>
      <c r="DZ77" s="884"/>
      <c r="EA77" s="884"/>
      <c r="EB77" s="884"/>
      <c r="EC77" s="884"/>
      <c r="ED77" s="884"/>
      <c r="EE77" s="884"/>
      <c r="EF77" s="884"/>
      <c r="EG77" s="884"/>
      <c r="EH77" s="884"/>
      <c r="EI77" s="884"/>
      <c r="EJ77" s="884"/>
      <c r="EK77" s="884"/>
      <c r="EL77" s="884"/>
      <c r="EM77" s="884"/>
      <c r="EN77" s="884"/>
      <c r="EO77" s="884"/>
      <c r="EP77" s="884"/>
      <c r="EQ77" s="884"/>
      <c r="ER77" s="884"/>
      <c r="ES77" s="884"/>
      <c r="ET77" s="884"/>
      <c r="EU77" s="884"/>
      <c r="EV77" s="884"/>
      <c r="EW77" s="884"/>
      <c r="EX77" s="884"/>
      <c r="EY77" s="884"/>
      <c r="EZ77" s="884"/>
      <c r="FA77" s="884"/>
      <c r="FB77" s="884"/>
      <c r="FC77" s="884"/>
      <c r="FD77" s="884"/>
      <c r="FE77" s="884"/>
      <c r="FF77" s="884"/>
      <c r="FG77" s="884"/>
      <c r="FH77" s="884"/>
      <c r="FI77" s="884"/>
      <c r="FJ77" s="884"/>
      <c r="FK77" s="884"/>
      <c r="FL77" s="884"/>
      <c r="FM77" s="884"/>
      <c r="FN77" s="884"/>
      <c r="FO77" s="884"/>
      <c r="FP77" s="884"/>
      <c r="FQ77" s="884"/>
      <c r="FR77" s="884"/>
      <c r="FS77" s="884"/>
      <c r="FT77" s="884"/>
      <c r="FU77" s="884"/>
      <c r="FV77" s="884"/>
      <c r="FW77" s="884"/>
      <c r="FX77" s="884"/>
      <c r="FY77" s="884"/>
      <c r="FZ77" s="884"/>
      <c r="GA77" s="884"/>
      <c r="GB77" s="884"/>
      <c r="GC77" s="884"/>
      <c r="GD77" s="884"/>
      <c r="GE77" s="884"/>
      <c r="GF77" s="884"/>
      <c r="GG77" s="884"/>
      <c r="GH77" s="884"/>
      <c r="GI77" s="884"/>
      <c r="GJ77" s="884"/>
      <c r="GK77" s="884"/>
      <c r="GL77" s="884"/>
      <c r="GM77" s="884"/>
      <c r="GN77" s="884"/>
      <c r="GO77" s="884"/>
      <c r="GP77" s="884"/>
      <c r="GQ77" s="884"/>
      <c r="GR77" s="884"/>
      <c r="GS77" s="884"/>
      <c r="GT77" s="884"/>
      <c r="GU77" s="884"/>
      <c r="GV77" s="884"/>
      <c r="GW77" s="884"/>
      <c r="GX77" s="884"/>
      <c r="GY77" s="884"/>
      <c r="GZ77" s="884"/>
      <c r="HA77" s="884"/>
      <c r="HB77" s="884"/>
      <c r="HC77" s="884"/>
      <c r="HD77" s="884"/>
      <c r="HE77" s="884"/>
      <c r="HF77" s="884"/>
      <c r="HG77" s="884"/>
      <c r="HH77" s="884"/>
      <c r="HI77" s="884"/>
      <c r="HJ77" s="884"/>
      <c r="HK77" s="884"/>
      <c r="HL77" s="884"/>
      <c r="HM77" s="884"/>
      <c r="HN77" s="884"/>
      <c r="HO77" s="884"/>
      <c r="HP77" s="884"/>
      <c r="HQ77" s="884"/>
      <c r="HR77" s="884"/>
      <c r="HS77" s="884"/>
      <c r="HT77" s="884"/>
      <c r="HU77" s="884"/>
      <c r="HV77" s="884"/>
      <c r="HW77" s="884"/>
      <c r="HX77" s="884"/>
      <c r="HY77" s="884"/>
      <c r="HZ77" s="884"/>
      <c r="IA77" s="884"/>
      <c r="IB77" s="884"/>
      <c r="IC77" s="884"/>
      <c r="ID77" s="884"/>
      <c r="IE77" s="884"/>
      <c r="IF77" s="884"/>
      <c r="IG77" s="884"/>
      <c r="IH77" s="884"/>
      <c r="II77" s="884"/>
      <c r="IJ77" s="884"/>
      <c r="IK77" s="884"/>
      <c r="IL77" s="884"/>
      <c r="IM77" s="884"/>
      <c r="IN77" s="884"/>
      <c r="IO77" s="884"/>
      <c r="IP77" s="884"/>
      <c r="IQ77" s="884"/>
      <c r="IR77" s="884"/>
      <c r="IS77" s="884"/>
      <c r="IT77" s="884"/>
      <c r="IU77" s="884"/>
      <c r="IV77" s="884"/>
      <c r="IW77" s="884"/>
      <c r="IX77" s="884"/>
      <c r="IY77" s="884"/>
      <c r="IZ77" s="884"/>
      <c r="JA77" s="884"/>
      <c r="JB77" s="884"/>
      <c r="JC77" s="884"/>
      <c r="JD77" s="884"/>
      <c r="JE77" s="884"/>
      <c r="JF77" s="884"/>
      <c r="JG77" s="884"/>
      <c r="JH77" s="884"/>
      <c r="JI77" s="884"/>
      <c r="JJ77" s="884"/>
      <c r="JK77" s="884"/>
      <c r="JL77" s="884"/>
      <c r="JM77" s="884"/>
      <c r="JN77" s="884"/>
      <c r="JO77" s="884"/>
      <c r="JP77" s="884"/>
      <c r="JQ77" s="884"/>
      <c r="JR77" s="884"/>
      <c r="JS77" s="884"/>
      <c r="JT77" s="884"/>
      <c r="JU77" s="884"/>
      <c r="JV77" s="884"/>
      <c r="JW77" s="884"/>
    </row>
    <row r="78" spans="1:283" s="883" customFormat="1" ht="30" x14ac:dyDescent="0.2">
      <c r="A78" s="953"/>
      <c r="B78" s="954"/>
      <c r="C78" s="4062"/>
      <c r="D78" s="4063"/>
      <c r="E78" s="973"/>
      <c r="F78" s="971"/>
      <c r="G78" s="4090"/>
      <c r="H78" s="4091"/>
      <c r="I78" s="4092"/>
      <c r="J78" s="4093"/>
      <c r="K78" s="4094"/>
      <c r="L78" s="4079"/>
      <c r="M78" s="4102"/>
      <c r="N78" s="4083"/>
      <c r="O78" s="4103"/>
      <c r="P78" s="4081"/>
      <c r="Q78" s="4105"/>
      <c r="R78" s="976" t="s">
        <v>871</v>
      </c>
      <c r="S78" s="912">
        <v>50000000</v>
      </c>
      <c r="T78" s="2490" t="s">
        <v>61</v>
      </c>
      <c r="U78" s="2485" t="s">
        <v>357</v>
      </c>
      <c r="V78" s="4095"/>
      <c r="W78" s="4095"/>
      <c r="X78" s="4100"/>
      <c r="Y78" s="4101"/>
      <c r="Z78" s="4101"/>
      <c r="AA78" s="4101"/>
      <c r="AB78" s="4101"/>
      <c r="AC78" s="4101"/>
      <c r="AD78" s="4101"/>
      <c r="AE78" s="4101"/>
      <c r="AF78" s="4101"/>
      <c r="AG78" s="4101"/>
      <c r="AH78" s="4101"/>
      <c r="AI78" s="4101"/>
      <c r="AJ78" s="4101"/>
      <c r="AK78" s="4101"/>
      <c r="AL78" s="4107"/>
      <c r="AM78" s="4107"/>
      <c r="AN78" s="4106"/>
      <c r="AT78" s="884"/>
      <c r="AU78" s="884"/>
      <c r="AV78" s="884"/>
      <c r="AW78" s="884"/>
      <c r="AX78" s="884"/>
      <c r="AY78" s="884"/>
      <c r="AZ78" s="884"/>
      <c r="BA78" s="884"/>
      <c r="BB78" s="884"/>
      <c r="BC78" s="884"/>
      <c r="BD78" s="884"/>
      <c r="BE78" s="884"/>
      <c r="BF78" s="884"/>
      <c r="BG78" s="884"/>
      <c r="BH78" s="884"/>
      <c r="BI78" s="884"/>
      <c r="BJ78" s="884"/>
      <c r="BK78" s="884"/>
      <c r="BL78" s="884"/>
      <c r="BM78" s="884"/>
      <c r="BN78" s="884"/>
      <c r="BO78" s="884"/>
      <c r="BP78" s="884"/>
      <c r="BQ78" s="884"/>
      <c r="BR78" s="884"/>
      <c r="BS78" s="884"/>
      <c r="BT78" s="884"/>
      <c r="BU78" s="884"/>
      <c r="BV78" s="884"/>
      <c r="BW78" s="884"/>
      <c r="BX78" s="884"/>
      <c r="BY78" s="884"/>
      <c r="BZ78" s="884"/>
      <c r="CA78" s="884"/>
      <c r="CB78" s="884"/>
      <c r="CC78" s="884"/>
      <c r="CD78" s="884"/>
      <c r="CE78" s="884"/>
      <c r="CF78" s="884"/>
      <c r="CG78" s="884"/>
      <c r="CH78" s="884"/>
      <c r="CI78" s="884"/>
      <c r="CJ78" s="884"/>
      <c r="CK78" s="884"/>
      <c r="CL78" s="884"/>
      <c r="CM78" s="884"/>
      <c r="CN78" s="884"/>
      <c r="CO78" s="884"/>
      <c r="CP78" s="884"/>
      <c r="CQ78" s="884"/>
      <c r="CR78" s="884"/>
      <c r="CS78" s="884"/>
      <c r="CT78" s="884"/>
      <c r="CU78" s="884"/>
      <c r="CV78" s="884"/>
      <c r="CW78" s="884"/>
      <c r="CX78" s="884"/>
      <c r="CY78" s="884"/>
      <c r="CZ78" s="884"/>
      <c r="DA78" s="884"/>
      <c r="DB78" s="884"/>
      <c r="DC78" s="884"/>
      <c r="DD78" s="884"/>
      <c r="DE78" s="884"/>
      <c r="DF78" s="884"/>
      <c r="DG78" s="884"/>
      <c r="DH78" s="884"/>
      <c r="DI78" s="884"/>
      <c r="DJ78" s="884"/>
      <c r="DK78" s="884"/>
      <c r="DL78" s="884"/>
      <c r="DM78" s="884"/>
      <c r="DN78" s="884"/>
      <c r="DO78" s="884"/>
      <c r="DP78" s="884"/>
      <c r="DQ78" s="884"/>
      <c r="DR78" s="884"/>
      <c r="DS78" s="884"/>
      <c r="DT78" s="884"/>
      <c r="DU78" s="884"/>
      <c r="DV78" s="884"/>
      <c r="DW78" s="884"/>
      <c r="DX78" s="884"/>
      <c r="DY78" s="884"/>
      <c r="DZ78" s="884"/>
      <c r="EA78" s="884"/>
      <c r="EB78" s="884"/>
      <c r="EC78" s="884"/>
      <c r="ED78" s="884"/>
      <c r="EE78" s="884"/>
      <c r="EF78" s="884"/>
      <c r="EG78" s="884"/>
      <c r="EH78" s="884"/>
      <c r="EI78" s="884"/>
      <c r="EJ78" s="884"/>
      <c r="EK78" s="884"/>
      <c r="EL78" s="884"/>
      <c r="EM78" s="884"/>
      <c r="EN78" s="884"/>
      <c r="EO78" s="884"/>
      <c r="EP78" s="884"/>
      <c r="EQ78" s="884"/>
      <c r="ER78" s="884"/>
      <c r="ES78" s="884"/>
      <c r="ET78" s="884"/>
      <c r="EU78" s="884"/>
      <c r="EV78" s="884"/>
      <c r="EW78" s="884"/>
      <c r="EX78" s="884"/>
      <c r="EY78" s="884"/>
      <c r="EZ78" s="884"/>
      <c r="FA78" s="884"/>
      <c r="FB78" s="884"/>
      <c r="FC78" s="884"/>
      <c r="FD78" s="884"/>
      <c r="FE78" s="884"/>
      <c r="FF78" s="884"/>
      <c r="FG78" s="884"/>
      <c r="FH78" s="884"/>
      <c r="FI78" s="884"/>
      <c r="FJ78" s="884"/>
      <c r="FK78" s="884"/>
      <c r="FL78" s="884"/>
      <c r="FM78" s="884"/>
      <c r="FN78" s="884"/>
      <c r="FO78" s="884"/>
      <c r="FP78" s="884"/>
      <c r="FQ78" s="884"/>
      <c r="FR78" s="884"/>
      <c r="FS78" s="884"/>
      <c r="FT78" s="884"/>
      <c r="FU78" s="884"/>
      <c r="FV78" s="884"/>
      <c r="FW78" s="884"/>
      <c r="FX78" s="884"/>
      <c r="FY78" s="884"/>
      <c r="FZ78" s="884"/>
      <c r="GA78" s="884"/>
      <c r="GB78" s="884"/>
      <c r="GC78" s="884"/>
      <c r="GD78" s="884"/>
      <c r="GE78" s="884"/>
      <c r="GF78" s="884"/>
      <c r="GG78" s="884"/>
      <c r="GH78" s="884"/>
      <c r="GI78" s="884"/>
      <c r="GJ78" s="884"/>
      <c r="GK78" s="884"/>
      <c r="GL78" s="884"/>
      <c r="GM78" s="884"/>
      <c r="GN78" s="884"/>
      <c r="GO78" s="884"/>
      <c r="GP78" s="884"/>
      <c r="GQ78" s="884"/>
      <c r="GR78" s="884"/>
      <c r="GS78" s="884"/>
      <c r="GT78" s="884"/>
      <c r="GU78" s="884"/>
      <c r="GV78" s="884"/>
      <c r="GW78" s="884"/>
      <c r="GX78" s="884"/>
      <c r="GY78" s="884"/>
      <c r="GZ78" s="884"/>
      <c r="HA78" s="884"/>
      <c r="HB78" s="884"/>
      <c r="HC78" s="884"/>
      <c r="HD78" s="884"/>
      <c r="HE78" s="884"/>
      <c r="HF78" s="884"/>
      <c r="HG78" s="884"/>
      <c r="HH78" s="884"/>
      <c r="HI78" s="884"/>
      <c r="HJ78" s="884"/>
      <c r="HK78" s="884"/>
      <c r="HL78" s="884"/>
      <c r="HM78" s="884"/>
      <c r="HN78" s="884"/>
      <c r="HO78" s="884"/>
      <c r="HP78" s="884"/>
      <c r="HQ78" s="884"/>
      <c r="HR78" s="884"/>
      <c r="HS78" s="884"/>
      <c r="HT78" s="884"/>
      <c r="HU78" s="884"/>
      <c r="HV78" s="884"/>
      <c r="HW78" s="884"/>
      <c r="HX78" s="884"/>
      <c r="HY78" s="884"/>
      <c r="HZ78" s="884"/>
      <c r="IA78" s="884"/>
      <c r="IB78" s="884"/>
      <c r="IC78" s="884"/>
      <c r="ID78" s="884"/>
      <c r="IE78" s="884"/>
      <c r="IF78" s="884"/>
      <c r="IG78" s="884"/>
      <c r="IH78" s="884"/>
      <c r="II78" s="884"/>
      <c r="IJ78" s="884"/>
      <c r="IK78" s="884"/>
      <c r="IL78" s="884"/>
      <c r="IM78" s="884"/>
      <c r="IN78" s="884"/>
      <c r="IO78" s="884"/>
      <c r="IP78" s="884"/>
      <c r="IQ78" s="884"/>
      <c r="IR78" s="884"/>
      <c r="IS78" s="884"/>
      <c r="IT78" s="884"/>
      <c r="IU78" s="884"/>
      <c r="IV78" s="884"/>
      <c r="IW78" s="884"/>
      <c r="IX78" s="884"/>
      <c r="IY78" s="884"/>
      <c r="IZ78" s="884"/>
      <c r="JA78" s="884"/>
      <c r="JB78" s="884"/>
      <c r="JC78" s="884"/>
      <c r="JD78" s="884"/>
      <c r="JE78" s="884"/>
      <c r="JF78" s="884"/>
      <c r="JG78" s="884"/>
      <c r="JH78" s="884"/>
      <c r="JI78" s="884"/>
      <c r="JJ78" s="884"/>
      <c r="JK78" s="884"/>
      <c r="JL78" s="884"/>
      <c r="JM78" s="884"/>
      <c r="JN78" s="884"/>
      <c r="JO78" s="884"/>
      <c r="JP78" s="884"/>
      <c r="JQ78" s="884"/>
      <c r="JR78" s="884"/>
      <c r="JS78" s="884"/>
      <c r="JT78" s="884"/>
      <c r="JU78" s="884"/>
      <c r="JV78" s="884"/>
      <c r="JW78" s="884"/>
    </row>
    <row r="79" spans="1:283" s="883" customFormat="1" ht="57" x14ac:dyDescent="0.2">
      <c r="A79" s="953"/>
      <c r="B79" s="954"/>
      <c r="C79" s="4062"/>
      <c r="D79" s="4063"/>
      <c r="E79" s="973"/>
      <c r="F79" s="971"/>
      <c r="G79" s="4090"/>
      <c r="H79" s="4091"/>
      <c r="I79" s="4092"/>
      <c r="J79" s="4093"/>
      <c r="K79" s="4094"/>
      <c r="L79" s="4079"/>
      <c r="M79" s="4102"/>
      <c r="N79" s="4083"/>
      <c r="O79" s="4103"/>
      <c r="P79" s="4081"/>
      <c r="Q79" s="4105"/>
      <c r="R79" s="977" t="s">
        <v>872</v>
      </c>
      <c r="S79" s="912">
        <f>200000000+100000000</f>
        <v>300000000</v>
      </c>
      <c r="T79" s="2490" t="s">
        <v>61</v>
      </c>
      <c r="U79" s="2485" t="s">
        <v>357</v>
      </c>
      <c r="V79" s="4095"/>
      <c r="W79" s="4095"/>
      <c r="X79" s="4100"/>
      <c r="Y79" s="4101"/>
      <c r="Z79" s="4101"/>
      <c r="AA79" s="4101"/>
      <c r="AB79" s="4101"/>
      <c r="AC79" s="4101"/>
      <c r="AD79" s="4101"/>
      <c r="AE79" s="4101"/>
      <c r="AF79" s="4101"/>
      <c r="AG79" s="4101"/>
      <c r="AH79" s="4101"/>
      <c r="AI79" s="4101"/>
      <c r="AJ79" s="4101"/>
      <c r="AK79" s="4101"/>
      <c r="AL79" s="4107"/>
      <c r="AM79" s="4107"/>
      <c r="AN79" s="4106"/>
      <c r="AT79" s="884"/>
      <c r="AU79" s="884"/>
      <c r="AV79" s="884"/>
      <c r="AW79" s="884"/>
      <c r="AX79" s="884"/>
      <c r="AY79" s="884"/>
      <c r="AZ79" s="884"/>
      <c r="BA79" s="884"/>
      <c r="BB79" s="884"/>
      <c r="BC79" s="884"/>
      <c r="BD79" s="884"/>
      <c r="BE79" s="884"/>
      <c r="BF79" s="884"/>
      <c r="BG79" s="884"/>
      <c r="BH79" s="884"/>
      <c r="BI79" s="884"/>
      <c r="BJ79" s="884"/>
      <c r="BK79" s="884"/>
      <c r="BL79" s="884"/>
      <c r="BM79" s="884"/>
      <c r="BN79" s="884"/>
      <c r="BO79" s="884"/>
      <c r="BP79" s="884"/>
      <c r="BQ79" s="884"/>
      <c r="BR79" s="884"/>
      <c r="BS79" s="884"/>
      <c r="BT79" s="884"/>
      <c r="BU79" s="884"/>
      <c r="BV79" s="884"/>
      <c r="BW79" s="884"/>
      <c r="BX79" s="884"/>
      <c r="BY79" s="884"/>
      <c r="BZ79" s="884"/>
      <c r="CA79" s="884"/>
      <c r="CB79" s="884"/>
      <c r="CC79" s="884"/>
      <c r="CD79" s="884"/>
      <c r="CE79" s="884"/>
      <c r="CF79" s="884"/>
      <c r="CG79" s="884"/>
      <c r="CH79" s="884"/>
      <c r="CI79" s="884"/>
      <c r="CJ79" s="884"/>
      <c r="CK79" s="884"/>
      <c r="CL79" s="884"/>
      <c r="CM79" s="884"/>
      <c r="CN79" s="884"/>
      <c r="CO79" s="884"/>
      <c r="CP79" s="884"/>
      <c r="CQ79" s="884"/>
      <c r="CR79" s="884"/>
      <c r="CS79" s="884"/>
      <c r="CT79" s="884"/>
      <c r="CU79" s="884"/>
      <c r="CV79" s="884"/>
      <c r="CW79" s="884"/>
      <c r="CX79" s="884"/>
      <c r="CY79" s="884"/>
      <c r="CZ79" s="884"/>
      <c r="DA79" s="884"/>
      <c r="DB79" s="884"/>
      <c r="DC79" s="884"/>
      <c r="DD79" s="884"/>
      <c r="DE79" s="884"/>
      <c r="DF79" s="884"/>
      <c r="DG79" s="884"/>
      <c r="DH79" s="884"/>
      <c r="DI79" s="884"/>
      <c r="DJ79" s="884"/>
      <c r="DK79" s="884"/>
      <c r="DL79" s="884"/>
      <c r="DM79" s="884"/>
      <c r="DN79" s="884"/>
      <c r="DO79" s="884"/>
      <c r="DP79" s="884"/>
      <c r="DQ79" s="884"/>
      <c r="DR79" s="884"/>
      <c r="DS79" s="884"/>
      <c r="DT79" s="884"/>
      <c r="DU79" s="884"/>
      <c r="DV79" s="884"/>
      <c r="DW79" s="884"/>
      <c r="DX79" s="884"/>
      <c r="DY79" s="884"/>
      <c r="DZ79" s="884"/>
      <c r="EA79" s="884"/>
      <c r="EB79" s="884"/>
      <c r="EC79" s="884"/>
      <c r="ED79" s="884"/>
      <c r="EE79" s="884"/>
      <c r="EF79" s="884"/>
      <c r="EG79" s="884"/>
      <c r="EH79" s="884"/>
      <c r="EI79" s="884"/>
      <c r="EJ79" s="884"/>
      <c r="EK79" s="884"/>
      <c r="EL79" s="884"/>
      <c r="EM79" s="884"/>
      <c r="EN79" s="884"/>
      <c r="EO79" s="884"/>
      <c r="EP79" s="884"/>
      <c r="EQ79" s="884"/>
      <c r="ER79" s="884"/>
      <c r="ES79" s="884"/>
      <c r="ET79" s="884"/>
      <c r="EU79" s="884"/>
      <c r="EV79" s="884"/>
      <c r="EW79" s="884"/>
      <c r="EX79" s="884"/>
      <c r="EY79" s="884"/>
      <c r="EZ79" s="884"/>
      <c r="FA79" s="884"/>
      <c r="FB79" s="884"/>
      <c r="FC79" s="884"/>
      <c r="FD79" s="884"/>
      <c r="FE79" s="884"/>
      <c r="FF79" s="884"/>
      <c r="FG79" s="884"/>
      <c r="FH79" s="884"/>
      <c r="FI79" s="884"/>
      <c r="FJ79" s="884"/>
      <c r="FK79" s="884"/>
      <c r="FL79" s="884"/>
      <c r="FM79" s="884"/>
      <c r="FN79" s="884"/>
      <c r="FO79" s="884"/>
      <c r="FP79" s="884"/>
      <c r="FQ79" s="884"/>
      <c r="FR79" s="884"/>
      <c r="FS79" s="884"/>
      <c r="FT79" s="884"/>
      <c r="FU79" s="884"/>
      <c r="FV79" s="884"/>
      <c r="FW79" s="884"/>
      <c r="FX79" s="884"/>
      <c r="FY79" s="884"/>
      <c r="FZ79" s="884"/>
      <c r="GA79" s="884"/>
      <c r="GB79" s="884"/>
      <c r="GC79" s="884"/>
      <c r="GD79" s="884"/>
      <c r="GE79" s="884"/>
      <c r="GF79" s="884"/>
      <c r="GG79" s="884"/>
      <c r="GH79" s="884"/>
      <c r="GI79" s="884"/>
      <c r="GJ79" s="884"/>
      <c r="GK79" s="884"/>
      <c r="GL79" s="884"/>
      <c r="GM79" s="884"/>
      <c r="GN79" s="884"/>
      <c r="GO79" s="884"/>
      <c r="GP79" s="884"/>
      <c r="GQ79" s="884"/>
      <c r="GR79" s="884"/>
      <c r="GS79" s="884"/>
      <c r="GT79" s="884"/>
      <c r="GU79" s="884"/>
      <c r="GV79" s="884"/>
      <c r="GW79" s="884"/>
      <c r="GX79" s="884"/>
      <c r="GY79" s="884"/>
      <c r="GZ79" s="884"/>
      <c r="HA79" s="884"/>
      <c r="HB79" s="884"/>
      <c r="HC79" s="884"/>
      <c r="HD79" s="884"/>
      <c r="HE79" s="884"/>
      <c r="HF79" s="884"/>
      <c r="HG79" s="884"/>
      <c r="HH79" s="884"/>
      <c r="HI79" s="884"/>
      <c r="HJ79" s="884"/>
      <c r="HK79" s="884"/>
      <c r="HL79" s="884"/>
      <c r="HM79" s="884"/>
      <c r="HN79" s="884"/>
      <c r="HO79" s="884"/>
      <c r="HP79" s="884"/>
      <c r="HQ79" s="884"/>
      <c r="HR79" s="884"/>
      <c r="HS79" s="884"/>
      <c r="HT79" s="884"/>
      <c r="HU79" s="884"/>
      <c r="HV79" s="884"/>
      <c r="HW79" s="884"/>
      <c r="HX79" s="884"/>
      <c r="HY79" s="884"/>
      <c r="HZ79" s="884"/>
      <c r="IA79" s="884"/>
      <c r="IB79" s="884"/>
      <c r="IC79" s="884"/>
      <c r="ID79" s="884"/>
      <c r="IE79" s="884"/>
      <c r="IF79" s="884"/>
      <c r="IG79" s="884"/>
      <c r="IH79" s="884"/>
      <c r="II79" s="884"/>
      <c r="IJ79" s="884"/>
      <c r="IK79" s="884"/>
      <c r="IL79" s="884"/>
      <c r="IM79" s="884"/>
      <c r="IN79" s="884"/>
      <c r="IO79" s="884"/>
      <c r="IP79" s="884"/>
      <c r="IQ79" s="884"/>
      <c r="IR79" s="884"/>
      <c r="IS79" s="884"/>
      <c r="IT79" s="884"/>
      <c r="IU79" s="884"/>
      <c r="IV79" s="884"/>
      <c r="IW79" s="884"/>
      <c r="IX79" s="884"/>
      <c r="IY79" s="884"/>
      <c r="IZ79" s="884"/>
      <c r="JA79" s="884"/>
      <c r="JB79" s="884"/>
      <c r="JC79" s="884"/>
      <c r="JD79" s="884"/>
      <c r="JE79" s="884"/>
      <c r="JF79" s="884"/>
      <c r="JG79" s="884"/>
      <c r="JH79" s="884"/>
      <c r="JI79" s="884"/>
      <c r="JJ79" s="884"/>
      <c r="JK79" s="884"/>
      <c r="JL79" s="884"/>
      <c r="JM79" s="884"/>
      <c r="JN79" s="884"/>
      <c r="JO79" s="884"/>
      <c r="JP79" s="884"/>
      <c r="JQ79" s="884"/>
      <c r="JR79" s="884"/>
      <c r="JS79" s="884"/>
      <c r="JT79" s="884"/>
      <c r="JU79" s="884"/>
      <c r="JV79" s="884"/>
      <c r="JW79" s="884"/>
    </row>
    <row r="80" spans="1:283" s="883" customFormat="1" ht="57" x14ac:dyDescent="0.2">
      <c r="A80" s="953"/>
      <c r="B80" s="954"/>
      <c r="C80" s="4062"/>
      <c r="D80" s="4063"/>
      <c r="E80" s="973"/>
      <c r="F80" s="971"/>
      <c r="G80" s="4090"/>
      <c r="H80" s="4091"/>
      <c r="I80" s="4092"/>
      <c r="J80" s="4093"/>
      <c r="K80" s="4094"/>
      <c r="L80" s="4079"/>
      <c r="M80" s="4102"/>
      <c r="N80" s="4083"/>
      <c r="O80" s="4103"/>
      <c r="P80" s="4081"/>
      <c r="Q80" s="4105"/>
      <c r="R80" s="977" t="s">
        <v>873</v>
      </c>
      <c r="S80" s="912">
        <v>29040000</v>
      </c>
      <c r="T80" s="2490" t="s">
        <v>61</v>
      </c>
      <c r="U80" s="2485" t="s">
        <v>357</v>
      </c>
      <c r="V80" s="4095"/>
      <c r="W80" s="4095"/>
      <c r="X80" s="4100"/>
      <c r="Y80" s="4101"/>
      <c r="Z80" s="4101"/>
      <c r="AA80" s="4101"/>
      <c r="AB80" s="4101"/>
      <c r="AC80" s="4101"/>
      <c r="AD80" s="4101"/>
      <c r="AE80" s="4101"/>
      <c r="AF80" s="4101"/>
      <c r="AG80" s="4101"/>
      <c r="AH80" s="4101"/>
      <c r="AI80" s="4101"/>
      <c r="AJ80" s="4101"/>
      <c r="AK80" s="4101"/>
      <c r="AL80" s="4107"/>
      <c r="AM80" s="4107"/>
      <c r="AN80" s="4106"/>
      <c r="AT80" s="884"/>
      <c r="AU80" s="884"/>
      <c r="AV80" s="884"/>
      <c r="AW80" s="884"/>
      <c r="AX80" s="884"/>
      <c r="AY80" s="884"/>
      <c r="AZ80" s="884"/>
      <c r="BA80" s="884"/>
      <c r="BB80" s="884"/>
      <c r="BC80" s="884"/>
      <c r="BD80" s="884"/>
      <c r="BE80" s="884"/>
      <c r="BF80" s="884"/>
      <c r="BG80" s="884"/>
      <c r="BH80" s="884"/>
      <c r="BI80" s="884"/>
      <c r="BJ80" s="884"/>
      <c r="BK80" s="884"/>
      <c r="BL80" s="884"/>
      <c r="BM80" s="884"/>
      <c r="BN80" s="884"/>
      <c r="BO80" s="884"/>
      <c r="BP80" s="884"/>
      <c r="BQ80" s="884"/>
      <c r="BR80" s="884"/>
      <c r="BS80" s="884"/>
      <c r="BT80" s="884"/>
      <c r="BU80" s="884"/>
      <c r="BV80" s="884"/>
      <c r="BW80" s="884"/>
      <c r="BX80" s="884"/>
      <c r="BY80" s="884"/>
      <c r="BZ80" s="884"/>
      <c r="CA80" s="884"/>
      <c r="CB80" s="884"/>
      <c r="CC80" s="884"/>
      <c r="CD80" s="884"/>
      <c r="CE80" s="884"/>
      <c r="CF80" s="884"/>
      <c r="CG80" s="884"/>
      <c r="CH80" s="884"/>
      <c r="CI80" s="884"/>
      <c r="CJ80" s="884"/>
      <c r="CK80" s="884"/>
      <c r="CL80" s="884"/>
      <c r="CM80" s="884"/>
      <c r="CN80" s="884"/>
      <c r="CO80" s="884"/>
      <c r="CP80" s="884"/>
      <c r="CQ80" s="884"/>
      <c r="CR80" s="884"/>
      <c r="CS80" s="884"/>
      <c r="CT80" s="884"/>
      <c r="CU80" s="884"/>
      <c r="CV80" s="884"/>
      <c r="CW80" s="884"/>
      <c r="CX80" s="884"/>
      <c r="CY80" s="884"/>
      <c r="CZ80" s="884"/>
      <c r="DA80" s="884"/>
      <c r="DB80" s="884"/>
      <c r="DC80" s="884"/>
      <c r="DD80" s="884"/>
      <c r="DE80" s="884"/>
      <c r="DF80" s="884"/>
      <c r="DG80" s="884"/>
      <c r="DH80" s="884"/>
      <c r="DI80" s="884"/>
      <c r="DJ80" s="884"/>
      <c r="DK80" s="884"/>
      <c r="DL80" s="884"/>
      <c r="DM80" s="884"/>
      <c r="DN80" s="884"/>
      <c r="DO80" s="884"/>
      <c r="DP80" s="884"/>
      <c r="DQ80" s="884"/>
      <c r="DR80" s="884"/>
      <c r="DS80" s="884"/>
      <c r="DT80" s="884"/>
      <c r="DU80" s="884"/>
      <c r="DV80" s="884"/>
      <c r="DW80" s="884"/>
      <c r="DX80" s="884"/>
      <c r="DY80" s="884"/>
      <c r="DZ80" s="884"/>
      <c r="EA80" s="884"/>
      <c r="EB80" s="884"/>
      <c r="EC80" s="884"/>
      <c r="ED80" s="884"/>
      <c r="EE80" s="884"/>
      <c r="EF80" s="884"/>
      <c r="EG80" s="884"/>
      <c r="EH80" s="884"/>
      <c r="EI80" s="884"/>
      <c r="EJ80" s="884"/>
      <c r="EK80" s="884"/>
      <c r="EL80" s="884"/>
      <c r="EM80" s="884"/>
      <c r="EN80" s="884"/>
      <c r="EO80" s="884"/>
      <c r="EP80" s="884"/>
      <c r="EQ80" s="884"/>
      <c r="ER80" s="884"/>
      <c r="ES80" s="884"/>
      <c r="ET80" s="884"/>
      <c r="EU80" s="884"/>
      <c r="EV80" s="884"/>
      <c r="EW80" s="884"/>
      <c r="EX80" s="884"/>
      <c r="EY80" s="884"/>
      <c r="EZ80" s="884"/>
      <c r="FA80" s="884"/>
      <c r="FB80" s="884"/>
      <c r="FC80" s="884"/>
      <c r="FD80" s="884"/>
      <c r="FE80" s="884"/>
      <c r="FF80" s="884"/>
      <c r="FG80" s="884"/>
      <c r="FH80" s="884"/>
      <c r="FI80" s="884"/>
      <c r="FJ80" s="884"/>
      <c r="FK80" s="884"/>
      <c r="FL80" s="884"/>
      <c r="FM80" s="884"/>
      <c r="FN80" s="884"/>
      <c r="FO80" s="884"/>
      <c r="FP80" s="884"/>
      <c r="FQ80" s="884"/>
      <c r="FR80" s="884"/>
      <c r="FS80" s="884"/>
      <c r="FT80" s="884"/>
      <c r="FU80" s="884"/>
      <c r="FV80" s="884"/>
      <c r="FW80" s="884"/>
      <c r="FX80" s="884"/>
      <c r="FY80" s="884"/>
      <c r="FZ80" s="884"/>
      <c r="GA80" s="884"/>
      <c r="GB80" s="884"/>
      <c r="GC80" s="884"/>
      <c r="GD80" s="884"/>
      <c r="GE80" s="884"/>
      <c r="GF80" s="884"/>
      <c r="GG80" s="884"/>
      <c r="GH80" s="884"/>
      <c r="GI80" s="884"/>
      <c r="GJ80" s="884"/>
      <c r="GK80" s="884"/>
      <c r="GL80" s="884"/>
      <c r="GM80" s="884"/>
      <c r="GN80" s="884"/>
      <c r="GO80" s="884"/>
      <c r="GP80" s="884"/>
      <c r="GQ80" s="884"/>
      <c r="GR80" s="884"/>
      <c r="GS80" s="884"/>
      <c r="GT80" s="884"/>
      <c r="GU80" s="884"/>
      <c r="GV80" s="884"/>
      <c r="GW80" s="884"/>
      <c r="GX80" s="884"/>
      <c r="GY80" s="884"/>
      <c r="GZ80" s="884"/>
      <c r="HA80" s="884"/>
      <c r="HB80" s="884"/>
      <c r="HC80" s="884"/>
      <c r="HD80" s="884"/>
      <c r="HE80" s="884"/>
      <c r="HF80" s="884"/>
      <c r="HG80" s="884"/>
      <c r="HH80" s="884"/>
      <c r="HI80" s="884"/>
      <c r="HJ80" s="884"/>
      <c r="HK80" s="884"/>
      <c r="HL80" s="884"/>
      <c r="HM80" s="884"/>
      <c r="HN80" s="884"/>
      <c r="HO80" s="884"/>
      <c r="HP80" s="884"/>
      <c r="HQ80" s="884"/>
      <c r="HR80" s="884"/>
      <c r="HS80" s="884"/>
      <c r="HT80" s="884"/>
      <c r="HU80" s="884"/>
      <c r="HV80" s="884"/>
      <c r="HW80" s="884"/>
      <c r="HX80" s="884"/>
      <c r="HY80" s="884"/>
      <c r="HZ80" s="884"/>
      <c r="IA80" s="884"/>
      <c r="IB80" s="884"/>
      <c r="IC80" s="884"/>
      <c r="ID80" s="884"/>
      <c r="IE80" s="884"/>
      <c r="IF80" s="884"/>
      <c r="IG80" s="884"/>
      <c r="IH80" s="884"/>
      <c r="II80" s="884"/>
      <c r="IJ80" s="884"/>
      <c r="IK80" s="884"/>
      <c r="IL80" s="884"/>
      <c r="IM80" s="884"/>
      <c r="IN80" s="884"/>
      <c r="IO80" s="884"/>
      <c r="IP80" s="884"/>
      <c r="IQ80" s="884"/>
      <c r="IR80" s="884"/>
      <c r="IS80" s="884"/>
      <c r="IT80" s="884"/>
      <c r="IU80" s="884"/>
      <c r="IV80" s="884"/>
      <c r="IW80" s="884"/>
      <c r="IX80" s="884"/>
      <c r="IY80" s="884"/>
      <c r="IZ80" s="884"/>
      <c r="JA80" s="884"/>
      <c r="JB80" s="884"/>
      <c r="JC80" s="884"/>
      <c r="JD80" s="884"/>
      <c r="JE80" s="884"/>
      <c r="JF80" s="884"/>
      <c r="JG80" s="884"/>
      <c r="JH80" s="884"/>
      <c r="JI80" s="884"/>
      <c r="JJ80" s="884"/>
      <c r="JK80" s="884"/>
      <c r="JL80" s="884"/>
      <c r="JM80" s="884"/>
      <c r="JN80" s="884"/>
      <c r="JO80" s="884"/>
      <c r="JP80" s="884"/>
      <c r="JQ80" s="884"/>
      <c r="JR80" s="884"/>
      <c r="JS80" s="884"/>
      <c r="JT80" s="884"/>
      <c r="JU80" s="884"/>
      <c r="JV80" s="884"/>
      <c r="JW80" s="884"/>
    </row>
    <row r="81" spans="1:283" s="883" customFormat="1" ht="42.75" x14ac:dyDescent="0.2">
      <c r="A81" s="953"/>
      <c r="B81" s="954"/>
      <c r="C81" s="4062"/>
      <c r="D81" s="4063"/>
      <c r="E81" s="973"/>
      <c r="F81" s="971"/>
      <c r="G81" s="4090"/>
      <c r="H81" s="4091"/>
      <c r="I81" s="4092"/>
      <c r="J81" s="4093"/>
      <c r="K81" s="4094"/>
      <c r="L81" s="4079"/>
      <c r="M81" s="4102"/>
      <c r="N81" s="4083"/>
      <c r="O81" s="4103"/>
      <c r="P81" s="4081"/>
      <c r="Q81" s="4105"/>
      <c r="R81" s="977" t="s">
        <v>874</v>
      </c>
      <c r="S81" s="912">
        <v>24360000</v>
      </c>
      <c r="T81" s="2490" t="s">
        <v>61</v>
      </c>
      <c r="U81" s="2485" t="s">
        <v>357</v>
      </c>
      <c r="V81" s="4095"/>
      <c r="W81" s="4095"/>
      <c r="X81" s="4100"/>
      <c r="Y81" s="4101"/>
      <c r="Z81" s="4101"/>
      <c r="AA81" s="4101"/>
      <c r="AB81" s="4101"/>
      <c r="AC81" s="4101"/>
      <c r="AD81" s="4101"/>
      <c r="AE81" s="4101"/>
      <c r="AF81" s="4101"/>
      <c r="AG81" s="4101"/>
      <c r="AH81" s="4101"/>
      <c r="AI81" s="4101"/>
      <c r="AJ81" s="4101"/>
      <c r="AK81" s="4101"/>
      <c r="AL81" s="4107"/>
      <c r="AM81" s="4107"/>
      <c r="AN81" s="4106"/>
      <c r="AT81" s="884"/>
      <c r="AU81" s="884"/>
      <c r="AV81" s="884"/>
      <c r="AW81" s="884"/>
      <c r="AX81" s="884"/>
      <c r="AY81" s="884"/>
      <c r="AZ81" s="884"/>
      <c r="BA81" s="884"/>
      <c r="BB81" s="884"/>
      <c r="BC81" s="884"/>
      <c r="BD81" s="884"/>
      <c r="BE81" s="884"/>
      <c r="BF81" s="884"/>
      <c r="BG81" s="884"/>
      <c r="BH81" s="884"/>
      <c r="BI81" s="884"/>
      <c r="BJ81" s="884"/>
      <c r="BK81" s="884"/>
      <c r="BL81" s="884"/>
      <c r="BM81" s="884"/>
      <c r="BN81" s="884"/>
      <c r="BO81" s="884"/>
      <c r="BP81" s="884"/>
      <c r="BQ81" s="884"/>
      <c r="BR81" s="884"/>
      <c r="BS81" s="884"/>
      <c r="BT81" s="884"/>
      <c r="BU81" s="884"/>
      <c r="BV81" s="884"/>
      <c r="BW81" s="884"/>
      <c r="BX81" s="884"/>
      <c r="BY81" s="884"/>
      <c r="BZ81" s="884"/>
      <c r="CA81" s="884"/>
      <c r="CB81" s="884"/>
      <c r="CC81" s="884"/>
      <c r="CD81" s="884"/>
      <c r="CE81" s="884"/>
      <c r="CF81" s="884"/>
      <c r="CG81" s="884"/>
      <c r="CH81" s="884"/>
      <c r="CI81" s="884"/>
      <c r="CJ81" s="884"/>
      <c r="CK81" s="884"/>
      <c r="CL81" s="884"/>
      <c r="CM81" s="884"/>
      <c r="CN81" s="884"/>
      <c r="CO81" s="884"/>
      <c r="CP81" s="884"/>
      <c r="CQ81" s="884"/>
      <c r="CR81" s="884"/>
      <c r="CS81" s="884"/>
      <c r="CT81" s="884"/>
      <c r="CU81" s="884"/>
      <c r="CV81" s="884"/>
      <c r="CW81" s="884"/>
      <c r="CX81" s="884"/>
      <c r="CY81" s="884"/>
      <c r="CZ81" s="884"/>
      <c r="DA81" s="884"/>
      <c r="DB81" s="884"/>
      <c r="DC81" s="884"/>
      <c r="DD81" s="884"/>
      <c r="DE81" s="884"/>
      <c r="DF81" s="884"/>
      <c r="DG81" s="884"/>
      <c r="DH81" s="884"/>
      <c r="DI81" s="884"/>
      <c r="DJ81" s="884"/>
      <c r="DK81" s="884"/>
      <c r="DL81" s="884"/>
      <c r="DM81" s="884"/>
      <c r="DN81" s="884"/>
      <c r="DO81" s="884"/>
      <c r="DP81" s="884"/>
      <c r="DQ81" s="884"/>
      <c r="DR81" s="884"/>
      <c r="DS81" s="884"/>
      <c r="DT81" s="884"/>
      <c r="DU81" s="884"/>
      <c r="DV81" s="884"/>
      <c r="DW81" s="884"/>
      <c r="DX81" s="884"/>
      <c r="DY81" s="884"/>
      <c r="DZ81" s="884"/>
      <c r="EA81" s="884"/>
      <c r="EB81" s="884"/>
      <c r="EC81" s="884"/>
      <c r="ED81" s="884"/>
      <c r="EE81" s="884"/>
      <c r="EF81" s="884"/>
      <c r="EG81" s="884"/>
      <c r="EH81" s="884"/>
      <c r="EI81" s="884"/>
      <c r="EJ81" s="884"/>
      <c r="EK81" s="884"/>
      <c r="EL81" s="884"/>
      <c r="EM81" s="884"/>
      <c r="EN81" s="884"/>
      <c r="EO81" s="884"/>
      <c r="EP81" s="884"/>
      <c r="EQ81" s="884"/>
      <c r="ER81" s="884"/>
      <c r="ES81" s="884"/>
      <c r="ET81" s="884"/>
      <c r="EU81" s="884"/>
      <c r="EV81" s="884"/>
      <c r="EW81" s="884"/>
      <c r="EX81" s="884"/>
      <c r="EY81" s="884"/>
      <c r="EZ81" s="884"/>
      <c r="FA81" s="884"/>
      <c r="FB81" s="884"/>
      <c r="FC81" s="884"/>
      <c r="FD81" s="884"/>
      <c r="FE81" s="884"/>
      <c r="FF81" s="884"/>
      <c r="FG81" s="884"/>
      <c r="FH81" s="884"/>
      <c r="FI81" s="884"/>
      <c r="FJ81" s="884"/>
      <c r="FK81" s="884"/>
      <c r="FL81" s="884"/>
      <c r="FM81" s="884"/>
      <c r="FN81" s="884"/>
      <c r="FO81" s="884"/>
      <c r="FP81" s="884"/>
      <c r="FQ81" s="884"/>
      <c r="FR81" s="884"/>
      <c r="FS81" s="884"/>
      <c r="FT81" s="884"/>
      <c r="FU81" s="884"/>
      <c r="FV81" s="884"/>
      <c r="FW81" s="884"/>
      <c r="FX81" s="884"/>
      <c r="FY81" s="884"/>
      <c r="FZ81" s="884"/>
      <c r="GA81" s="884"/>
      <c r="GB81" s="884"/>
      <c r="GC81" s="884"/>
      <c r="GD81" s="884"/>
      <c r="GE81" s="884"/>
      <c r="GF81" s="884"/>
      <c r="GG81" s="884"/>
      <c r="GH81" s="884"/>
      <c r="GI81" s="884"/>
      <c r="GJ81" s="884"/>
      <c r="GK81" s="884"/>
      <c r="GL81" s="884"/>
      <c r="GM81" s="884"/>
      <c r="GN81" s="884"/>
      <c r="GO81" s="884"/>
      <c r="GP81" s="884"/>
      <c r="GQ81" s="884"/>
      <c r="GR81" s="884"/>
      <c r="GS81" s="884"/>
      <c r="GT81" s="884"/>
      <c r="GU81" s="884"/>
      <c r="GV81" s="884"/>
      <c r="GW81" s="884"/>
      <c r="GX81" s="884"/>
      <c r="GY81" s="884"/>
      <c r="GZ81" s="884"/>
      <c r="HA81" s="884"/>
      <c r="HB81" s="884"/>
      <c r="HC81" s="884"/>
      <c r="HD81" s="884"/>
      <c r="HE81" s="884"/>
      <c r="HF81" s="884"/>
      <c r="HG81" s="884"/>
      <c r="HH81" s="884"/>
      <c r="HI81" s="884"/>
      <c r="HJ81" s="884"/>
      <c r="HK81" s="884"/>
      <c r="HL81" s="884"/>
      <c r="HM81" s="884"/>
      <c r="HN81" s="884"/>
      <c r="HO81" s="884"/>
      <c r="HP81" s="884"/>
      <c r="HQ81" s="884"/>
      <c r="HR81" s="884"/>
      <c r="HS81" s="884"/>
      <c r="HT81" s="884"/>
      <c r="HU81" s="884"/>
      <c r="HV81" s="884"/>
      <c r="HW81" s="884"/>
      <c r="HX81" s="884"/>
      <c r="HY81" s="884"/>
      <c r="HZ81" s="884"/>
      <c r="IA81" s="884"/>
      <c r="IB81" s="884"/>
      <c r="IC81" s="884"/>
      <c r="ID81" s="884"/>
      <c r="IE81" s="884"/>
      <c r="IF81" s="884"/>
      <c r="IG81" s="884"/>
      <c r="IH81" s="884"/>
      <c r="II81" s="884"/>
      <c r="IJ81" s="884"/>
      <c r="IK81" s="884"/>
      <c r="IL81" s="884"/>
      <c r="IM81" s="884"/>
      <c r="IN81" s="884"/>
      <c r="IO81" s="884"/>
      <c r="IP81" s="884"/>
      <c r="IQ81" s="884"/>
      <c r="IR81" s="884"/>
      <c r="IS81" s="884"/>
      <c r="IT81" s="884"/>
      <c r="IU81" s="884"/>
      <c r="IV81" s="884"/>
      <c r="IW81" s="884"/>
      <c r="IX81" s="884"/>
      <c r="IY81" s="884"/>
      <c r="IZ81" s="884"/>
      <c r="JA81" s="884"/>
      <c r="JB81" s="884"/>
      <c r="JC81" s="884"/>
      <c r="JD81" s="884"/>
      <c r="JE81" s="884"/>
      <c r="JF81" s="884"/>
      <c r="JG81" s="884"/>
      <c r="JH81" s="884"/>
      <c r="JI81" s="884"/>
      <c r="JJ81" s="884"/>
      <c r="JK81" s="884"/>
      <c r="JL81" s="884"/>
      <c r="JM81" s="884"/>
      <c r="JN81" s="884"/>
      <c r="JO81" s="884"/>
      <c r="JP81" s="884"/>
      <c r="JQ81" s="884"/>
      <c r="JR81" s="884"/>
      <c r="JS81" s="884"/>
      <c r="JT81" s="884"/>
      <c r="JU81" s="884"/>
      <c r="JV81" s="884"/>
      <c r="JW81" s="884"/>
    </row>
    <row r="82" spans="1:283" s="883" customFormat="1" ht="42.75" x14ac:dyDescent="0.2">
      <c r="A82" s="953"/>
      <c r="B82" s="954"/>
      <c r="C82" s="4062"/>
      <c r="D82" s="4063"/>
      <c r="E82" s="973"/>
      <c r="F82" s="971"/>
      <c r="G82" s="4090"/>
      <c r="H82" s="4091"/>
      <c r="I82" s="4092"/>
      <c r="J82" s="4093"/>
      <c r="K82" s="4094"/>
      <c r="L82" s="4079"/>
      <c r="M82" s="4102"/>
      <c r="N82" s="4083"/>
      <c r="O82" s="4103"/>
      <c r="P82" s="4081"/>
      <c r="Q82" s="4105"/>
      <c r="R82" s="976" t="s">
        <v>875</v>
      </c>
      <c r="S82" s="912">
        <v>21610000</v>
      </c>
      <c r="T82" s="2490" t="s">
        <v>61</v>
      </c>
      <c r="U82" s="2485" t="s">
        <v>357</v>
      </c>
      <c r="V82" s="4095"/>
      <c r="W82" s="4095"/>
      <c r="X82" s="4100"/>
      <c r="Y82" s="4101"/>
      <c r="Z82" s="4101"/>
      <c r="AA82" s="4101"/>
      <c r="AB82" s="4101"/>
      <c r="AC82" s="4101"/>
      <c r="AD82" s="4101"/>
      <c r="AE82" s="4101"/>
      <c r="AF82" s="4101"/>
      <c r="AG82" s="4101"/>
      <c r="AH82" s="4101"/>
      <c r="AI82" s="4101"/>
      <c r="AJ82" s="4101"/>
      <c r="AK82" s="4101"/>
      <c r="AL82" s="4107"/>
      <c r="AM82" s="4107"/>
      <c r="AN82" s="4106"/>
      <c r="AT82" s="884"/>
      <c r="AU82" s="884"/>
      <c r="AV82" s="884"/>
      <c r="AW82" s="884"/>
      <c r="AX82" s="884"/>
      <c r="AY82" s="884"/>
      <c r="AZ82" s="884"/>
      <c r="BA82" s="884"/>
      <c r="BB82" s="884"/>
      <c r="BC82" s="884"/>
      <c r="BD82" s="884"/>
      <c r="BE82" s="884"/>
      <c r="BF82" s="884"/>
      <c r="BG82" s="884"/>
      <c r="BH82" s="884"/>
      <c r="BI82" s="884"/>
      <c r="BJ82" s="884"/>
      <c r="BK82" s="884"/>
      <c r="BL82" s="884"/>
      <c r="BM82" s="884"/>
      <c r="BN82" s="884"/>
      <c r="BO82" s="884"/>
      <c r="BP82" s="884"/>
      <c r="BQ82" s="884"/>
      <c r="BR82" s="884"/>
      <c r="BS82" s="884"/>
      <c r="BT82" s="884"/>
      <c r="BU82" s="884"/>
      <c r="BV82" s="884"/>
      <c r="BW82" s="884"/>
      <c r="BX82" s="884"/>
      <c r="BY82" s="884"/>
      <c r="BZ82" s="884"/>
      <c r="CA82" s="884"/>
      <c r="CB82" s="884"/>
      <c r="CC82" s="884"/>
      <c r="CD82" s="884"/>
      <c r="CE82" s="884"/>
      <c r="CF82" s="884"/>
      <c r="CG82" s="884"/>
      <c r="CH82" s="884"/>
      <c r="CI82" s="884"/>
      <c r="CJ82" s="884"/>
      <c r="CK82" s="884"/>
      <c r="CL82" s="884"/>
      <c r="CM82" s="884"/>
      <c r="CN82" s="884"/>
      <c r="CO82" s="884"/>
      <c r="CP82" s="884"/>
      <c r="CQ82" s="884"/>
      <c r="CR82" s="884"/>
      <c r="CS82" s="884"/>
      <c r="CT82" s="884"/>
      <c r="CU82" s="884"/>
      <c r="CV82" s="884"/>
      <c r="CW82" s="884"/>
      <c r="CX82" s="884"/>
      <c r="CY82" s="884"/>
      <c r="CZ82" s="884"/>
      <c r="DA82" s="884"/>
      <c r="DB82" s="884"/>
      <c r="DC82" s="884"/>
      <c r="DD82" s="884"/>
      <c r="DE82" s="884"/>
      <c r="DF82" s="884"/>
      <c r="DG82" s="884"/>
      <c r="DH82" s="884"/>
      <c r="DI82" s="884"/>
      <c r="DJ82" s="884"/>
      <c r="DK82" s="884"/>
      <c r="DL82" s="884"/>
      <c r="DM82" s="884"/>
      <c r="DN82" s="884"/>
      <c r="DO82" s="884"/>
      <c r="DP82" s="884"/>
      <c r="DQ82" s="884"/>
      <c r="DR82" s="884"/>
      <c r="DS82" s="884"/>
      <c r="DT82" s="884"/>
      <c r="DU82" s="884"/>
      <c r="DV82" s="884"/>
      <c r="DW82" s="884"/>
      <c r="DX82" s="884"/>
      <c r="DY82" s="884"/>
      <c r="DZ82" s="884"/>
      <c r="EA82" s="884"/>
      <c r="EB82" s="884"/>
      <c r="EC82" s="884"/>
      <c r="ED82" s="884"/>
      <c r="EE82" s="884"/>
      <c r="EF82" s="884"/>
      <c r="EG82" s="884"/>
      <c r="EH82" s="884"/>
      <c r="EI82" s="884"/>
      <c r="EJ82" s="884"/>
      <c r="EK82" s="884"/>
      <c r="EL82" s="884"/>
      <c r="EM82" s="884"/>
      <c r="EN82" s="884"/>
      <c r="EO82" s="884"/>
      <c r="EP82" s="884"/>
      <c r="EQ82" s="884"/>
      <c r="ER82" s="884"/>
      <c r="ES82" s="884"/>
      <c r="ET82" s="884"/>
      <c r="EU82" s="884"/>
      <c r="EV82" s="884"/>
      <c r="EW82" s="884"/>
      <c r="EX82" s="884"/>
      <c r="EY82" s="884"/>
      <c r="EZ82" s="884"/>
      <c r="FA82" s="884"/>
      <c r="FB82" s="884"/>
      <c r="FC82" s="884"/>
      <c r="FD82" s="884"/>
      <c r="FE82" s="884"/>
      <c r="FF82" s="884"/>
      <c r="FG82" s="884"/>
      <c r="FH82" s="884"/>
      <c r="FI82" s="884"/>
      <c r="FJ82" s="884"/>
      <c r="FK82" s="884"/>
      <c r="FL82" s="884"/>
      <c r="FM82" s="884"/>
      <c r="FN82" s="884"/>
      <c r="FO82" s="884"/>
      <c r="FP82" s="884"/>
      <c r="FQ82" s="884"/>
      <c r="FR82" s="884"/>
      <c r="FS82" s="884"/>
      <c r="FT82" s="884"/>
      <c r="FU82" s="884"/>
      <c r="FV82" s="884"/>
      <c r="FW82" s="884"/>
      <c r="FX82" s="884"/>
      <c r="FY82" s="884"/>
      <c r="FZ82" s="884"/>
      <c r="GA82" s="884"/>
      <c r="GB82" s="884"/>
      <c r="GC82" s="884"/>
      <c r="GD82" s="884"/>
      <c r="GE82" s="884"/>
      <c r="GF82" s="884"/>
      <c r="GG82" s="884"/>
      <c r="GH82" s="884"/>
      <c r="GI82" s="884"/>
      <c r="GJ82" s="884"/>
      <c r="GK82" s="884"/>
      <c r="GL82" s="884"/>
      <c r="GM82" s="884"/>
      <c r="GN82" s="884"/>
      <c r="GO82" s="884"/>
      <c r="GP82" s="884"/>
      <c r="GQ82" s="884"/>
      <c r="GR82" s="884"/>
      <c r="GS82" s="884"/>
      <c r="GT82" s="884"/>
      <c r="GU82" s="884"/>
      <c r="GV82" s="884"/>
      <c r="GW82" s="884"/>
      <c r="GX82" s="884"/>
      <c r="GY82" s="884"/>
      <c r="GZ82" s="884"/>
      <c r="HA82" s="884"/>
      <c r="HB82" s="884"/>
      <c r="HC82" s="884"/>
      <c r="HD82" s="884"/>
      <c r="HE82" s="884"/>
      <c r="HF82" s="884"/>
      <c r="HG82" s="884"/>
      <c r="HH82" s="884"/>
      <c r="HI82" s="884"/>
      <c r="HJ82" s="884"/>
      <c r="HK82" s="884"/>
      <c r="HL82" s="884"/>
      <c r="HM82" s="884"/>
      <c r="HN82" s="884"/>
      <c r="HO82" s="884"/>
      <c r="HP82" s="884"/>
      <c r="HQ82" s="884"/>
      <c r="HR82" s="884"/>
      <c r="HS82" s="884"/>
      <c r="HT82" s="884"/>
      <c r="HU82" s="884"/>
      <c r="HV82" s="884"/>
      <c r="HW82" s="884"/>
      <c r="HX82" s="884"/>
      <c r="HY82" s="884"/>
      <c r="HZ82" s="884"/>
      <c r="IA82" s="884"/>
      <c r="IB82" s="884"/>
      <c r="IC82" s="884"/>
      <c r="ID82" s="884"/>
      <c r="IE82" s="884"/>
      <c r="IF82" s="884"/>
      <c r="IG82" s="884"/>
      <c r="IH82" s="884"/>
      <c r="II82" s="884"/>
      <c r="IJ82" s="884"/>
      <c r="IK82" s="884"/>
      <c r="IL82" s="884"/>
      <c r="IM82" s="884"/>
      <c r="IN82" s="884"/>
      <c r="IO82" s="884"/>
      <c r="IP82" s="884"/>
      <c r="IQ82" s="884"/>
      <c r="IR82" s="884"/>
      <c r="IS82" s="884"/>
      <c r="IT82" s="884"/>
      <c r="IU82" s="884"/>
      <c r="IV82" s="884"/>
      <c r="IW82" s="884"/>
      <c r="IX82" s="884"/>
      <c r="IY82" s="884"/>
      <c r="IZ82" s="884"/>
      <c r="JA82" s="884"/>
      <c r="JB82" s="884"/>
      <c r="JC82" s="884"/>
      <c r="JD82" s="884"/>
      <c r="JE82" s="884"/>
      <c r="JF82" s="884"/>
      <c r="JG82" s="884"/>
      <c r="JH82" s="884"/>
      <c r="JI82" s="884"/>
      <c r="JJ82" s="884"/>
      <c r="JK82" s="884"/>
      <c r="JL82" s="884"/>
      <c r="JM82" s="884"/>
      <c r="JN82" s="884"/>
      <c r="JO82" s="884"/>
      <c r="JP82" s="884"/>
      <c r="JQ82" s="884"/>
      <c r="JR82" s="884"/>
      <c r="JS82" s="884"/>
      <c r="JT82" s="884"/>
      <c r="JU82" s="884"/>
      <c r="JV82" s="884"/>
      <c r="JW82" s="884"/>
    </row>
    <row r="83" spans="1:283" s="883" customFormat="1" ht="42.75" x14ac:dyDescent="0.2">
      <c r="A83" s="953"/>
      <c r="B83" s="954"/>
      <c r="C83" s="4062"/>
      <c r="D83" s="4063"/>
      <c r="E83" s="973"/>
      <c r="F83" s="971"/>
      <c r="G83" s="4090"/>
      <c r="H83" s="4091"/>
      <c r="I83" s="4092"/>
      <c r="J83" s="4093"/>
      <c r="K83" s="4094"/>
      <c r="L83" s="4079"/>
      <c r="M83" s="4102"/>
      <c r="N83" s="4083"/>
      <c r="O83" s="4103"/>
      <c r="P83" s="4081"/>
      <c r="Q83" s="4105"/>
      <c r="R83" s="976" t="s">
        <v>876</v>
      </c>
      <c r="S83" s="912">
        <v>18590000</v>
      </c>
      <c r="T83" s="2490" t="s">
        <v>61</v>
      </c>
      <c r="U83" s="2485" t="s">
        <v>357</v>
      </c>
      <c r="V83" s="4095"/>
      <c r="W83" s="4095"/>
      <c r="X83" s="4100"/>
      <c r="Y83" s="4101"/>
      <c r="Z83" s="4101"/>
      <c r="AA83" s="4101"/>
      <c r="AB83" s="4101"/>
      <c r="AC83" s="4101"/>
      <c r="AD83" s="4101"/>
      <c r="AE83" s="4101"/>
      <c r="AF83" s="4101"/>
      <c r="AG83" s="4101"/>
      <c r="AH83" s="4101"/>
      <c r="AI83" s="4101"/>
      <c r="AJ83" s="4101"/>
      <c r="AK83" s="4101"/>
      <c r="AL83" s="4107"/>
      <c r="AM83" s="4107"/>
      <c r="AN83" s="4106"/>
      <c r="AT83" s="884"/>
      <c r="AU83" s="884"/>
      <c r="AV83" s="884"/>
      <c r="AW83" s="884"/>
      <c r="AX83" s="884"/>
      <c r="AY83" s="884"/>
      <c r="AZ83" s="884"/>
      <c r="BA83" s="884"/>
      <c r="BB83" s="884"/>
      <c r="BC83" s="884"/>
      <c r="BD83" s="884"/>
      <c r="BE83" s="884"/>
      <c r="BF83" s="884"/>
      <c r="BG83" s="884"/>
      <c r="BH83" s="884"/>
      <c r="BI83" s="884"/>
      <c r="BJ83" s="884"/>
      <c r="BK83" s="884"/>
      <c r="BL83" s="884"/>
      <c r="BM83" s="884"/>
      <c r="BN83" s="884"/>
      <c r="BO83" s="884"/>
      <c r="BP83" s="884"/>
      <c r="BQ83" s="884"/>
      <c r="BR83" s="884"/>
      <c r="BS83" s="884"/>
      <c r="BT83" s="884"/>
      <c r="BU83" s="884"/>
      <c r="BV83" s="884"/>
      <c r="BW83" s="884"/>
      <c r="BX83" s="884"/>
      <c r="BY83" s="884"/>
      <c r="BZ83" s="884"/>
      <c r="CA83" s="884"/>
      <c r="CB83" s="884"/>
      <c r="CC83" s="884"/>
      <c r="CD83" s="884"/>
      <c r="CE83" s="884"/>
      <c r="CF83" s="884"/>
      <c r="CG83" s="884"/>
      <c r="CH83" s="884"/>
      <c r="CI83" s="884"/>
      <c r="CJ83" s="884"/>
      <c r="CK83" s="884"/>
      <c r="CL83" s="884"/>
      <c r="CM83" s="884"/>
      <c r="CN83" s="884"/>
      <c r="CO83" s="884"/>
      <c r="CP83" s="884"/>
      <c r="CQ83" s="884"/>
      <c r="CR83" s="884"/>
      <c r="CS83" s="884"/>
      <c r="CT83" s="884"/>
      <c r="CU83" s="884"/>
      <c r="CV83" s="884"/>
      <c r="CW83" s="884"/>
      <c r="CX83" s="884"/>
      <c r="CY83" s="884"/>
      <c r="CZ83" s="884"/>
      <c r="DA83" s="884"/>
      <c r="DB83" s="884"/>
      <c r="DC83" s="884"/>
      <c r="DD83" s="884"/>
      <c r="DE83" s="884"/>
      <c r="DF83" s="884"/>
      <c r="DG83" s="884"/>
      <c r="DH83" s="884"/>
      <c r="DI83" s="884"/>
      <c r="DJ83" s="884"/>
      <c r="DK83" s="884"/>
      <c r="DL83" s="884"/>
      <c r="DM83" s="884"/>
      <c r="DN83" s="884"/>
      <c r="DO83" s="884"/>
      <c r="DP83" s="884"/>
      <c r="DQ83" s="884"/>
      <c r="DR83" s="884"/>
      <c r="DS83" s="884"/>
      <c r="DT83" s="884"/>
      <c r="DU83" s="884"/>
      <c r="DV83" s="884"/>
      <c r="DW83" s="884"/>
      <c r="DX83" s="884"/>
      <c r="DY83" s="884"/>
      <c r="DZ83" s="884"/>
      <c r="EA83" s="884"/>
      <c r="EB83" s="884"/>
      <c r="EC83" s="884"/>
      <c r="ED83" s="884"/>
      <c r="EE83" s="884"/>
      <c r="EF83" s="884"/>
      <c r="EG83" s="884"/>
      <c r="EH83" s="884"/>
      <c r="EI83" s="884"/>
      <c r="EJ83" s="884"/>
      <c r="EK83" s="884"/>
      <c r="EL83" s="884"/>
      <c r="EM83" s="884"/>
      <c r="EN83" s="884"/>
      <c r="EO83" s="884"/>
      <c r="EP83" s="884"/>
      <c r="EQ83" s="884"/>
      <c r="ER83" s="884"/>
      <c r="ES83" s="884"/>
      <c r="ET83" s="884"/>
      <c r="EU83" s="884"/>
      <c r="EV83" s="884"/>
      <c r="EW83" s="884"/>
      <c r="EX83" s="884"/>
      <c r="EY83" s="884"/>
      <c r="EZ83" s="884"/>
      <c r="FA83" s="884"/>
      <c r="FB83" s="884"/>
      <c r="FC83" s="884"/>
      <c r="FD83" s="884"/>
      <c r="FE83" s="884"/>
      <c r="FF83" s="884"/>
      <c r="FG83" s="884"/>
      <c r="FH83" s="884"/>
      <c r="FI83" s="884"/>
      <c r="FJ83" s="884"/>
      <c r="FK83" s="884"/>
      <c r="FL83" s="884"/>
      <c r="FM83" s="884"/>
      <c r="FN83" s="884"/>
      <c r="FO83" s="884"/>
      <c r="FP83" s="884"/>
      <c r="FQ83" s="884"/>
      <c r="FR83" s="884"/>
      <c r="FS83" s="884"/>
      <c r="FT83" s="884"/>
      <c r="FU83" s="884"/>
      <c r="FV83" s="884"/>
      <c r="FW83" s="884"/>
      <c r="FX83" s="884"/>
      <c r="FY83" s="884"/>
      <c r="FZ83" s="884"/>
      <c r="GA83" s="884"/>
      <c r="GB83" s="884"/>
      <c r="GC83" s="884"/>
      <c r="GD83" s="884"/>
      <c r="GE83" s="884"/>
      <c r="GF83" s="884"/>
      <c r="GG83" s="884"/>
      <c r="GH83" s="884"/>
      <c r="GI83" s="884"/>
      <c r="GJ83" s="884"/>
      <c r="GK83" s="884"/>
      <c r="GL83" s="884"/>
      <c r="GM83" s="884"/>
      <c r="GN83" s="884"/>
      <c r="GO83" s="884"/>
      <c r="GP83" s="884"/>
      <c r="GQ83" s="884"/>
      <c r="GR83" s="884"/>
      <c r="GS83" s="884"/>
      <c r="GT83" s="884"/>
      <c r="GU83" s="884"/>
      <c r="GV83" s="884"/>
      <c r="GW83" s="884"/>
      <c r="GX83" s="884"/>
      <c r="GY83" s="884"/>
      <c r="GZ83" s="884"/>
      <c r="HA83" s="884"/>
      <c r="HB83" s="884"/>
      <c r="HC83" s="884"/>
      <c r="HD83" s="884"/>
      <c r="HE83" s="884"/>
      <c r="HF83" s="884"/>
      <c r="HG83" s="884"/>
      <c r="HH83" s="884"/>
      <c r="HI83" s="884"/>
      <c r="HJ83" s="884"/>
      <c r="HK83" s="884"/>
      <c r="HL83" s="884"/>
      <c r="HM83" s="884"/>
      <c r="HN83" s="884"/>
      <c r="HO83" s="884"/>
      <c r="HP83" s="884"/>
      <c r="HQ83" s="884"/>
      <c r="HR83" s="884"/>
      <c r="HS83" s="884"/>
      <c r="HT83" s="884"/>
      <c r="HU83" s="884"/>
      <c r="HV83" s="884"/>
      <c r="HW83" s="884"/>
      <c r="HX83" s="884"/>
      <c r="HY83" s="884"/>
      <c r="HZ83" s="884"/>
      <c r="IA83" s="884"/>
      <c r="IB83" s="884"/>
      <c r="IC83" s="884"/>
      <c r="ID83" s="884"/>
      <c r="IE83" s="884"/>
      <c r="IF83" s="884"/>
      <c r="IG83" s="884"/>
      <c r="IH83" s="884"/>
      <c r="II83" s="884"/>
      <c r="IJ83" s="884"/>
      <c r="IK83" s="884"/>
      <c r="IL83" s="884"/>
      <c r="IM83" s="884"/>
      <c r="IN83" s="884"/>
      <c r="IO83" s="884"/>
      <c r="IP83" s="884"/>
      <c r="IQ83" s="884"/>
      <c r="IR83" s="884"/>
      <c r="IS83" s="884"/>
      <c r="IT83" s="884"/>
      <c r="IU83" s="884"/>
      <c r="IV83" s="884"/>
      <c r="IW83" s="884"/>
      <c r="IX83" s="884"/>
      <c r="IY83" s="884"/>
      <c r="IZ83" s="884"/>
      <c r="JA83" s="884"/>
      <c r="JB83" s="884"/>
      <c r="JC83" s="884"/>
      <c r="JD83" s="884"/>
      <c r="JE83" s="884"/>
      <c r="JF83" s="884"/>
      <c r="JG83" s="884"/>
      <c r="JH83" s="884"/>
      <c r="JI83" s="884"/>
      <c r="JJ83" s="884"/>
      <c r="JK83" s="884"/>
      <c r="JL83" s="884"/>
      <c r="JM83" s="884"/>
      <c r="JN83" s="884"/>
      <c r="JO83" s="884"/>
      <c r="JP83" s="884"/>
      <c r="JQ83" s="884"/>
      <c r="JR83" s="884"/>
      <c r="JS83" s="884"/>
      <c r="JT83" s="884"/>
      <c r="JU83" s="884"/>
      <c r="JV83" s="884"/>
      <c r="JW83" s="884"/>
    </row>
    <row r="84" spans="1:283" s="883" customFormat="1" ht="71.25" x14ac:dyDescent="0.2">
      <c r="A84" s="953"/>
      <c r="B84" s="954"/>
      <c r="C84" s="4062"/>
      <c r="D84" s="4063"/>
      <c r="E84" s="973"/>
      <c r="F84" s="971"/>
      <c r="G84" s="4090"/>
      <c r="H84" s="4091"/>
      <c r="I84" s="4092"/>
      <c r="J84" s="4093"/>
      <c r="K84" s="4094"/>
      <c r="L84" s="4079"/>
      <c r="M84" s="4102"/>
      <c r="N84" s="4083"/>
      <c r="O84" s="4103"/>
      <c r="P84" s="4081"/>
      <c r="Q84" s="4105"/>
      <c r="R84" s="976" t="s">
        <v>877</v>
      </c>
      <c r="S84" s="912">
        <v>30000000</v>
      </c>
      <c r="T84" s="2490" t="s">
        <v>61</v>
      </c>
      <c r="U84" s="2485" t="s">
        <v>357</v>
      </c>
      <c r="V84" s="4095"/>
      <c r="W84" s="4095"/>
      <c r="X84" s="4100"/>
      <c r="Y84" s="4101"/>
      <c r="Z84" s="4101"/>
      <c r="AA84" s="4101"/>
      <c r="AB84" s="4101"/>
      <c r="AC84" s="4101"/>
      <c r="AD84" s="4101"/>
      <c r="AE84" s="4101"/>
      <c r="AF84" s="4101"/>
      <c r="AG84" s="4101"/>
      <c r="AH84" s="4101"/>
      <c r="AI84" s="4101"/>
      <c r="AJ84" s="4101"/>
      <c r="AK84" s="4101"/>
      <c r="AL84" s="4107"/>
      <c r="AM84" s="4107"/>
      <c r="AN84" s="4106"/>
      <c r="AT84" s="884"/>
      <c r="AU84" s="884"/>
      <c r="AV84" s="884"/>
      <c r="AW84" s="884"/>
      <c r="AX84" s="884"/>
      <c r="AY84" s="884"/>
      <c r="AZ84" s="884"/>
      <c r="BA84" s="884"/>
      <c r="BB84" s="884"/>
      <c r="BC84" s="884"/>
      <c r="BD84" s="884"/>
      <c r="BE84" s="884"/>
      <c r="BF84" s="884"/>
      <c r="BG84" s="884"/>
      <c r="BH84" s="884"/>
      <c r="BI84" s="884"/>
      <c r="BJ84" s="884"/>
      <c r="BK84" s="884"/>
      <c r="BL84" s="884"/>
      <c r="BM84" s="884"/>
      <c r="BN84" s="884"/>
      <c r="BO84" s="884"/>
      <c r="BP84" s="884"/>
      <c r="BQ84" s="884"/>
      <c r="BR84" s="884"/>
      <c r="BS84" s="884"/>
      <c r="BT84" s="884"/>
      <c r="BU84" s="884"/>
      <c r="BV84" s="884"/>
      <c r="BW84" s="884"/>
      <c r="BX84" s="884"/>
      <c r="BY84" s="884"/>
      <c r="BZ84" s="884"/>
      <c r="CA84" s="884"/>
      <c r="CB84" s="884"/>
      <c r="CC84" s="884"/>
      <c r="CD84" s="884"/>
      <c r="CE84" s="884"/>
      <c r="CF84" s="884"/>
      <c r="CG84" s="884"/>
      <c r="CH84" s="884"/>
      <c r="CI84" s="884"/>
      <c r="CJ84" s="884"/>
      <c r="CK84" s="884"/>
      <c r="CL84" s="884"/>
      <c r="CM84" s="884"/>
      <c r="CN84" s="884"/>
      <c r="CO84" s="884"/>
      <c r="CP84" s="884"/>
      <c r="CQ84" s="884"/>
      <c r="CR84" s="884"/>
      <c r="CS84" s="884"/>
      <c r="CT84" s="884"/>
      <c r="CU84" s="884"/>
      <c r="CV84" s="884"/>
      <c r="CW84" s="884"/>
      <c r="CX84" s="884"/>
      <c r="CY84" s="884"/>
      <c r="CZ84" s="884"/>
      <c r="DA84" s="884"/>
      <c r="DB84" s="884"/>
      <c r="DC84" s="884"/>
      <c r="DD84" s="884"/>
      <c r="DE84" s="884"/>
      <c r="DF84" s="884"/>
      <c r="DG84" s="884"/>
      <c r="DH84" s="884"/>
      <c r="DI84" s="884"/>
      <c r="DJ84" s="884"/>
      <c r="DK84" s="884"/>
      <c r="DL84" s="884"/>
      <c r="DM84" s="884"/>
      <c r="DN84" s="884"/>
      <c r="DO84" s="884"/>
      <c r="DP84" s="884"/>
      <c r="DQ84" s="884"/>
      <c r="DR84" s="884"/>
      <c r="DS84" s="884"/>
      <c r="DT84" s="884"/>
      <c r="DU84" s="884"/>
      <c r="DV84" s="884"/>
      <c r="DW84" s="884"/>
      <c r="DX84" s="884"/>
      <c r="DY84" s="884"/>
      <c r="DZ84" s="884"/>
      <c r="EA84" s="884"/>
      <c r="EB84" s="884"/>
      <c r="EC84" s="884"/>
      <c r="ED84" s="884"/>
      <c r="EE84" s="884"/>
      <c r="EF84" s="884"/>
      <c r="EG84" s="884"/>
      <c r="EH84" s="884"/>
      <c r="EI84" s="884"/>
      <c r="EJ84" s="884"/>
      <c r="EK84" s="884"/>
      <c r="EL84" s="884"/>
      <c r="EM84" s="884"/>
      <c r="EN84" s="884"/>
      <c r="EO84" s="884"/>
      <c r="EP84" s="884"/>
      <c r="EQ84" s="884"/>
      <c r="ER84" s="884"/>
      <c r="ES84" s="884"/>
      <c r="ET84" s="884"/>
      <c r="EU84" s="884"/>
      <c r="EV84" s="884"/>
      <c r="EW84" s="884"/>
      <c r="EX84" s="884"/>
      <c r="EY84" s="884"/>
      <c r="EZ84" s="884"/>
      <c r="FA84" s="884"/>
      <c r="FB84" s="884"/>
      <c r="FC84" s="884"/>
      <c r="FD84" s="884"/>
      <c r="FE84" s="884"/>
      <c r="FF84" s="884"/>
      <c r="FG84" s="884"/>
      <c r="FH84" s="884"/>
      <c r="FI84" s="884"/>
      <c r="FJ84" s="884"/>
      <c r="FK84" s="884"/>
      <c r="FL84" s="884"/>
      <c r="FM84" s="884"/>
      <c r="FN84" s="884"/>
      <c r="FO84" s="884"/>
      <c r="FP84" s="884"/>
      <c r="FQ84" s="884"/>
      <c r="FR84" s="884"/>
      <c r="FS84" s="884"/>
      <c r="FT84" s="884"/>
      <c r="FU84" s="884"/>
      <c r="FV84" s="884"/>
      <c r="FW84" s="884"/>
      <c r="FX84" s="884"/>
      <c r="FY84" s="884"/>
      <c r="FZ84" s="884"/>
      <c r="GA84" s="884"/>
      <c r="GB84" s="884"/>
      <c r="GC84" s="884"/>
      <c r="GD84" s="884"/>
      <c r="GE84" s="884"/>
      <c r="GF84" s="884"/>
      <c r="GG84" s="884"/>
      <c r="GH84" s="884"/>
      <c r="GI84" s="884"/>
      <c r="GJ84" s="884"/>
      <c r="GK84" s="884"/>
      <c r="GL84" s="884"/>
      <c r="GM84" s="884"/>
      <c r="GN84" s="884"/>
      <c r="GO84" s="884"/>
      <c r="GP84" s="884"/>
      <c r="GQ84" s="884"/>
      <c r="GR84" s="884"/>
      <c r="GS84" s="884"/>
      <c r="GT84" s="884"/>
      <c r="GU84" s="884"/>
      <c r="GV84" s="884"/>
      <c r="GW84" s="884"/>
      <c r="GX84" s="884"/>
      <c r="GY84" s="884"/>
      <c r="GZ84" s="884"/>
      <c r="HA84" s="884"/>
      <c r="HB84" s="884"/>
      <c r="HC84" s="884"/>
      <c r="HD84" s="884"/>
      <c r="HE84" s="884"/>
      <c r="HF84" s="884"/>
      <c r="HG84" s="884"/>
      <c r="HH84" s="884"/>
      <c r="HI84" s="884"/>
      <c r="HJ84" s="884"/>
      <c r="HK84" s="884"/>
      <c r="HL84" s="884"/>
      <c r="HM84" s="884"/>
      <c r="HN84" s="884"/>
      <c r="HO84" s="884"/>
      <c r="HP84" s="884"/>
      <c r="HQ84" s="884"/>
      <c r="HR84" s="884"/>
      <c r="HS84" s="884"/>
      <c r="HT84" s="884"/>
      <c r="HU84" s="884"/>
      <c r="HV84" s="884"/>
      <c r="HW84" s="884"/>
      <c r="HX84" s="884"/>
      <c r="HY84" s="884"/>
      <c r="HZ84" s="884"/>
      <c r="IA84" s="884"/>
      <c r="IB84" s="884"/>
      <c r="IC84" s="884"/>
      <c r="ID84" s="884"/>
      <c r="IE84" s="884"/>
      <c r="IF84" s="884"/>
      <c r="IG84" s="884"/>
      <c r="IH84" s="884"/>
      <c r="II84" s="884"/>
      <c r="IJ84" s="884"/>
      <c r="IK84" s="884"/>
      <c r="IL84" s="884"/>
      <c r="IM84" s="884"/>
      <c r="IN84" s="884"/>
      <c r="IO84" s="884"/>
      <c r="IP84" s="884"/>
      <c r="IQ84" s="884"/>
      <c r="IR84" s="884"/>
      <c r="IS84" s="884"/>
      <c r="IT84" s="884"/>
      <c r="IU84" s="884"/>
      <c r="IV84" s="884"/>
      <c r="IW84" s="884"/>
      <c r="IX84" s="884"/>
      <c r="IY84" s="884"/>
      <c r="IZ84" s="884"/>
      <c r="JA84" s="884"/>
      <c r="JB84" s="884"/>
      <c r="JC84" s="884"/>
      <c r="JD84" s="884"/>
      <c r="JE84" s="884"/>
      <c r="JF84" s="884"/>
      <c r="JG84" s="884"/>
      <c r="JH84" s="884"/>
      <c r="JI84" s="884"/>
      <c r="JJ84" s="884"/>
      <c r="JK84" s="884"/>
      <c r="JL84" s="884"/>
      <c r="JM84" s="884"/>
      <c r="JN84" s="884"/>
      <c r="JO84" s="884"/>
      <c r="JP84" s="884"/>
      <c r="JQ84" s="884"/>
      <c r="JR84" s="884"/>
      <c r="JS84" s="884"/>
      <c r="JT84" s="884"/>
      <c r="JU84" s="884"/>
      <c r="JV84" s="884"/>
      <c r="JW84" s="884"/>
    </row>
    <row r="85" spans="1:283" s="883" customFormat="1" ht="42.75" x14ac:dyDescent="0.2">
      <c r="A85" s="953"/>
      <c r="B85" s="954"/>
      <c r="C85" s="4062"/>
      <c r="D85" s="4063"/>
      <c r="E85" s="973"/>
      <c r="F85" s="971"/>
      <c r="G85" s="4090"/>
      <c r="H85" s="4091"/>
      <c r="I85" s="4092"/>
      <c r="J85" s="4093"/>
      <c r="K85" s="4094"/>
      <c r="L85" s="4079"/>
      <c r="M85" s="4102"/>
      <c r="N85" s="4083"/>
      <c r="O85" s="4103"/>
      <c r="P85" s="4081"/>
      <c r="Q85" s="4106"/>
      <c r="R85" s="976" t="s">
        <v>878</v>
      </c>
      <c r="S85" s="912">
        <v>15000000</v>
      </c>
      <c r="T85" s="2490" t="s">
        <v>61</v>
      </c>
      <c r="U85" s="2485" t="s">
        <v>357</v>
      </c>
      <c r="V85" s="4095"/>
      <c r="W85" s="4095"/>
      <c r="X85" s="4100"/>
      <c r="Y85" s="4101"/>
      <c r="Z85" s="4101"/>
      <c r="AA85" s="4101"/>
      <c r="AB85" s="4101"/>
      <c r="AC85" s="4101"/>
      <c r="AD85" s="4101"/>
      <c r="AE85" s="4101"/>
      <c r="AF85" s="4101"/>
      <c r="AG85" s="4101"/>
      <c r="AH85" s="4101"/>
      <c r="AI85" s="4101"/>
      <c r="AJ85" s="4101"/>
      <c r="AK85" s="4101"/>
      <c r="AL85" s="4107"/>
      <c r="AM85" s="4107"/>
      <c r="AN85" s="4106"/>
      <c r="AT85" s="884"/>
      <c r="AU85" s="884"/>
      <c r="AV85" s="884"/>
      <c r="AW85" s="884"/>
      <c r="AX85" s="884"/>
      <c r="AY85" s="884"/>
      <c r="AZ85" s="884"/>
      <c r="BA85" s="884"/>
      <c r="BB85" s="884"/>
      <c r="BC85" s="884"/>
      <c r="BD85" s="884"/>
      <c r="BE85" s="884"/>
      <c r="BF85" s="884"/>
      <c r="BG85" s="884"/>
      <c r="BH85" s="884"/>
      <c r="BI85" s="884"/>
      <c r="BJ85" s="884"/>
      <c r="BK85" s="884"/>
      <c r="BL85" s="884"/>
      <c r="BM85" s="884"/>
      <c r="BN85" s="884"/>
      <c r="BO85" s="884"/>
      <c r="BP85" s="884"/>
      <c r="BQ85" s="884"/>
      <c r="BR85" s="884"/>
      <c r="BS85" s="884"/>
      <c r="BT85" s="884"/>
      <c r="BU85" s="884"/>
      <c r="BV85" s="884"/>
      <c r="BW85" s="884"/>
      <c r="BX85" s="884"/>
      <c r="BY85" s="884"/>
      <c r="BZ85" s="884"/>
      <c r="CA85" s="884"/>
      <c r="CB85" s="884"/>
      <c r="CC85" s="884"/>
      <c r="CD85" s="884"/>
      <c r="CE85" s="884"/>
      <c r="CF85" s="884"/>
      <c r="CG85" s="884"/>
      <c r="CH85" s="884"/>
      <c r="CI85" s="884"/>
      <c r="CJ85" s="884"/>
      <c r="CK85" s="884"/>
      <c r="CL85" s="884"/>
      <c r="CM85" s="884"/>
      <c r="CN85" s="884"/>
      <c r="CO85" s="884"/>
      <c r="CP85" s="884"/>
      <c r="CQ85" s="884"/>
      <c r="CR85" s="884"/>
      <c r="CS85" s="884"/>
      <c r="CT85" s="884"/>
      <c r="CU85" s="884"/>
      <c r="CV85" s="884"/>
      <c r="CW85" s="884"/>
      <c r="CX85" s="884"/>
      <c r="CY85" s="884"/>
      <c r="CZ85" s="884"/>
      <c r="DA85" s="884"/>
      <c r="DB85" s="884"/>
      <c r="DC85" s="884"/>
      <c r="DD85" s="884"/>
      <c r="DE85" s="884"/>
      <c r="DF85" s="884"/>
      <c r="DG85" s="884"/>
      <c r="DH85" s="884"/>
      <c r="DI85" s="884"/>
      <c r="DJ85" s="884"/>
      <c r="DK85" s="884"/>
      <c r="DL85" s="884"/>
      <c r="DM85" s="884"/>
      <c r="DN85" s="884"/>
      <c r="DO85" s="884"/>
      <c r="DP85" s="884"/>
      <c r="DQ85" s="884"/>
      <c r="DR85" s="884"/>
      <c r="DS85" s="884"/>
      <c r="DT85" s="884"/>
      <c r="DU85" s="884"/>
      <c r="DV85" s="884"/>
      <c r="DW85" s="884"/>
      <c r="DX85" s="884"/>
      <c r="DY85" s="884"/>
      <c r="DZ85" s="884"/>
      <c r="EA85" s="884"/>
      <c r="EB85" s="884"/>
      <c r="EC85" s="884"/>
      <c r="ED85" s="884"/>
      <c r="EE85" s="884"/>
      <c r="EF85" s="884"/>
      <c r="EG85" s="884"/>
      <c r="EH85" s="884"/>
      <c r="EI85" s="884"/>
      <c r="EJ85" s="884"/>
      <c r="EK85" s="884"/>
      <c r="EL85" s="884"/>
      <c r="EM85" s="884"/>
      <c r="EN85" s="884"/>
      <c r="EO85" s="884"/>
      <c r="EP85" s="884"/>
      <c r="EQ85" s="884"/>
      <c r="ER85" s="884"/>
      <c r="ES85" s="884"/>
      <c r="ET85" s="884"/>
      <c r="EU85" s="884"/>
      <c r="EV85" s="884"/>
      <c r="EW85" s="884"/>
      <c r="EX85" s="884"/>
      <c r="EY85" s="884"/>
      <c r="EZ85" s="884"/>
      <c r="FA85" s="884"/>
      <c r="FB85" s="884"/>
      <c r="FC85" s="884"/>
      <c r="FD85" s="884"/>
      <c r="FE85" s="884"/>
      <c r="FF85" s="884"/>
      <c r="FG85" s="884"/>
      <c r="FH85" s="884"/>
      <c r="FI85" s="884"/>
      <c r="FJ85" s="884"/>
      <c r="FK85" s="884"/>
      <c r="FL85" s="884"/>
      <c r="FM85" s="884"/>
      <c r="FN85" s="884"/>
      <c r="FO85" s="884"/>
      <c r="FP85" s="884"/>
      <c r="FQ85" s="884"/>
      <c r="FR85" s="884"/>
      <c r="FS85" s="884"/>
      <c r="FT85" s="884"/>
      <c r="FU85" s="884"/>
      <c r="FV85" s="884"/>
      <c r="FW85" s="884"/>
      <c r="FX85" s="884"/>
      <c r="FY85" s="884"/>
      <c r="FZ85" s="884"/>
      <c r="GA85" s="884"/>
      <c r="GB85" s="884"/>
      <c r="GC85" s="884"/>
      <c r="GD85" s="884"/>
      <c r="GE85" s="884"/>
      <c r="GF85" s="884"/>
      <c r="GG85" s="884"/>
      <c r="GH85" s="884"/>
      <c r="GI85" s="884"/>
      <c r="GJ85" s="884"/>
      <c r="GK85" s="884"/>
      <c r="GL85" s="884"/>
      <c r="GM85" s="884"/>
      <c r="GN85" s="884"/>
      <c r="GO85" s="884"/>
      <c r="GP85" s="884"/>
      <c r="GQ85" s="884"/>
      <c r="GR85" s="884"/>
      <c r="GS85" s="884"/>
      <c r="GT85" s="884"/>
      <c r="GU85" s="884"/>
      <c r="GV85" s="884"/>
      <c r="GW85" s="884"/>
      <c r="GX85" s="884"/>
      <c r="GY85" s="884"/>
      <c r="GZ85" s="884"/>
      <c r="HA85" s="884"/>
      <c r="HB85" s="884"/>
      <c r="HC85" s="884"/>
      <c r="HD85" s="884"/>
      <c r="HE85" s="884"/>
      <c r="HF85" s="884"/>
      <c r="HG85" s="884"/>
      <c r="HH85" s="884"/>
      <c r="HI85" s="884"/>
      <c r="HJ85" s="884"/>
      <c r="HK85" s="884"/>
      <c r="HL85" s="884"/>
      <c r="HM85" s="884"/>
      <c r="HN85" s="884"/>
      <c r="HO85" s="884"/>
      <c r="HP85" s="884"/>
      <c r="HQ85" s="884"/>
      <c r="HR85" s="884"/>
      <c r="HS85" s="884"/>
      <c r="HT85" s="884"/>
      <c r="HU85" s="884"/>
      <c r="HV85" s="884"/>
      <c r="HW85" s="884"/>
      <c r="HX85" s="884"/>
      <c r="HY85" s="884"/>
      <c r="HZ85" s="884"/>
      <c r="IA85" s="884"/>
      <c r="IB85" s="884"/>
      <c r="IC85" s="884"/>
      <c r="ID85" s="884"/>
      <c r="IE85" s="884"/>
      <c r="IF85" s="884"/>
      <c r="IG85" s="884"/>
      <c r="IH85" s="884"/>
      <c r="II85" s="884"/>
      <c r="IJ85" s="884"/>
      <c r="IK85" s="884"/>
      <c r="IL85" s="884"/>
      <c r="IM85" s="884"/>
      <c r="IN85" s="884"/>
      <c r="IO85" s="884"/>
      <c r="IP85" s="884"/>
      <c r="IQ85" s="884"/>
      <c r="IR85" s="884"/>
      <c r="IS85" s="884"/>
      <c r="IT85" s="884"/>
      <c r="IU85" s="884"/>
      <c r="IV85" s="884"/>
      <c r="IW85" s="884"/>
      <c r="IX85" s="884"/>
      <c r="IY85" s="884"/>
      <c r="IZ85" s="884"/>
      <c r="JA85" s="884"/>
      <c r="JB85" s="884"/>
      <c r="JC85" s="884"/>
      <c r="JD85" s="884"/>
      <c r="JE85" s="884"/>
      <c r="JF85" s="884"/>
      <c r="JG85" s="884"/>
      <c r="JH85" s="884"/>
      <c r="JI85" s="884"/>
      <c r="JJ85" s="884"/>
      <c r="JK85" s="884"/>
      <c r="JL85" s="884"/>
      <c r="JM85" s="884"/>
      <c r="JN85" s="884"/>
      <c r="JO85" s="884"/>
      <c r="JP85" s="884"/>
      <c r="JQ85" s="884"/>
      <c r="JR85" s="884"/>
      <c r="JS85" s="884"/>
      <c r="JT85" s="884"/>
      <c r="JU85" s="884"/>
      <c r="JV85" s="884"/>
      <c r="JW85" s="884"/>
    </row>
    <row r="86" spans="1:283" s="883" customFormat="1" ht="42.75" x14ac:dyDescent="0.2">
      <c r="A86" s="953"/>
      <c r="B86" s="954"/>
      <c r="C86" s="4062"/>
      <c r="D86" s="4063"/>
      <c r="E86" s="973"/>
      <c r="F86" s="971"/>
      <c r="G86" s="4090"/>
      <c r="H86" s="4091"/>
      <c r="I86" s="4092"/>
      <c r="J86" s="4093"/>
      <c r="K86" s="4094"/>
      <c r="L86" s="4079"/>
      <c r="M86" s="4102"/>
      <c r="N86" s="4083"/>
      <c r="O86" s="4103"/>
      <c r="P86" s="4081"/>
      <c r="Q86" s="2638" t="s">
        <v>879</v>
      </c>
      <c r="R86" s="978" t="s">
        <v>880</v>
      </c>
      <c r="S86" s="912">
        <f>200000000-100000000</f>
        <v>100000000</v>
      </c>
      <c r="T86" s="2490" t="s">
        <v>61</v>
      </c>
      <c r="U86" s="2485" t="s">
        <v>357</v>
      </c>
      <c r="V86" s="4095"/>
      <c r="W86" s="4095"/>
      <c r="X86" s="4100"/>
      <c r="Y86" s="4101"/>
      <c r="Z86" s="4101"/>
      <c r="AA86" s="4101"/>
      <c r="AB86" s="4101"/>
      <c r="AC86" s="4101"/>
      <c r="AD86" s="4101"/>
      <c r="AE86" s="4101"/>
      <c r="AF86" s="4101"/>
      <c r="AG86" s="4101"/>
      <c r="AH86" s="4101"/>
      <c r="AI86" s="4101"/>
      <c r="AJ86" s="4101"/>
      <c r="AK86" s="4101"/>
      <c r="AL86" s="4107"/>
      <c r="AM86" s="4107"/>
      <c r="AN86" s="4106"/>
      <c r="AT86" s="884"/>
      <c r="AU86" s="884"/>
      <c r="AV86" s="884"/>
      <c r="AW86" s="884"/>
      <c r="AX86" s="884"/>
      <c r="AY86" s="884"/>
      <c r="AZ86" s="884"/>
      <c r="BA86" s="884"/>
      <c r="BB86" s="884"/>
      <c r="BC86" s="884"/>
      <c r="BD86" s="884"/>
      <c r="BE86" s="884"/>
      <c r="BF86" s="884"/>
      <c r="BG86" s="884"/>
      <c r="BH86" s="884"/>
      <c r="BI86" s="884"/>
      <c r="BJ86" s="884"/>
      <c r="BK86" s="884"/>
      <c r="BL86" s="884"/>
      <c r="BM86" s="884"/>
      <c r="BN86" s="884"/>
      <c r="BO86" s="884"/>
      <c r="BP86" s="884"/>
      <c r="BQ86" s="884"/>
      <c r="BR86" s="884"/>
      <c r="BS86" s="884"/>
      <c r="BT86" s="884"/>
      <c r="BU86" s="884"/>
      <c r="BV86" s="884"/>
      <c r="BW86" s="884"/>
      <c r="BX86" s="884"/>
      <c r="BY86" s="884"/>
      <c r="BZ86" s="884"/>
      <c r="CA86" s="884"/>
      <c r="CB86" s="884"/>
      <c r="CC86" s="884"/>
      <c r="CD86" s="884"/>
      <c r="CE86" s="884"/>
      <c r="CF86" s="884"/>
      <c r="CG86" s="884"/>
      <c r="CH86" s="884"/>
      <c r="CI86" s="884"/>
      <c r="CJ86" s="884"/>
      <c r="CK86" s="884"/>
      <c r="CL86" s="884"/>
      <c r="CM86" s="884"/>
      <c r="CN86" s="884"/>
      <c r="CO86" s="884"/>
      <c r="CP86" s="884"/>
      <c r="CQ86" s="884"/>
      <c r="CR86" s="884"/>
      <c r="CS86" s="884"/>
      <c r="CT86" s="884"/>
      <c r="CU86" s="884"/>
      <c r="CV86" s="884"/>
      <c r="CW86" s="884"/>
      <c r="CX86" s="884"/>
      <c r="CY86" s="884"/>
      <c r="CZ86" s="884"/>
      <c r="DA86" s="884"/>
      <c r="DB86" s="884"/>
      <c r="DC86" s="884"/>
      <c r="DD86" s="884"/>
      <c r="DE86" s="884"/>
      <c r="DF86" s="884"/>
      <c r="DG86" s="884"/>
      <c r="DH86" s="884"/>
      <c r="DI86" s="884"/>
      <c r="DJ86" s="884"/>
      <c r="DK86" s="884"/>
      <c r="DL86" s="884"/>
      <c r="DM86" s="884"/>
      <c r="DN86" s="884"/>
      <c r="DO86" s="884"/>
      <c r="DP86" s="884"/>
      <c r="DQ86" s="884"/>
      <c r="DR86" s="884"/>
      <c r="DS86" s="884"/>
      <c r="DT86" s="884"/>
      <c r="DU86" s="884"/>
      <c r="DV86" s="884"/>
      <c r="DW86" s="884"/>
      <c r="DX86" s="884"/>
      <c r="DY86" s="884"/>
      <c r="DZ86" s="884"/>
      <c r="EA86" s="884"/>
      <c r="EB86" s="884"/>
      <c r="EC86" s="884"/>
      <c r="ED86" s="884"/>
      <c r="EE86" s="884"/>
      <c r="EF86" s="884"/>
      <c r="EG86" s="884"/>
      <c r="EH86" s="884"/>
      <c r="EI86" s="884"/>
      <c r="EJ86" s="884"/>
      <c r="EK86" s="884"/>
      <c r="EL86" s="884"/>
      <c r="EM86" s="884"/>
      <c r="EN86" s="884"/>
      <c r="EO86" s="884"/>
      <c r="EP86" s="884"/>
      <c r="EQ86" s="884"/>
      <c r="ER86" s="884"/>
      <c r="ES86" s="884"/>
      <c r="ET86" s="884"/>
      <c r="EU86" s="884"/>
      <c r="EV86" s="884"/>
      <c r="EW86" s="884"/>
      <c r="EX86" s="884"/>
      <c r="EY86" s="884"/>
      <c r="EZ86" s="884"/>
      <c r="FA86" s="884"/>
      <c r="FB86" s="884"/>
      <c r="FC86" s="884"/>
      <c r="FD86" s="884"/>
      <c r="FE86" s="884"/>
      <c r="FF86" s="884"/>
      <c r="FG86" s="884"/>
      <c r="FH86" s="884"/>
      <c r="FI86" s="884"/>
      <c r="FJ86" s="884"/>
      <c r="FK86" s="884"/>
      <c r="FL86" s="884"/>
      <c r="FM86" s="884"/>
      <c r="FN86" s="884"/>
      <c r="FO86" s="884"/>
      <c r="FP86" s="884"/>
      <c r="FQ86" s="884"/>
      <c r="FR86" s="884"/>
      <c r="FS86" s="884"/>
      <c r="FT86" s="884"/>
      <c r="FU86" s="884"/>
      <c r="FV86" s="884"/>
      <c r="FW86" s="884"/>
      <c r="FX86" s="884"/>
      <c r="FY86" s="884"/>
      <c r="FZ86" s="884"/>
      <c r="GA86" s="884"/>
      <c r="GB86" s="884"/>
      <c r="GC86" s="884"/>
      <c r="GD86" s="884"/>
      <c r="GE86" s="884"/>
      <c r="GF86" s="884"/>
      <c r="GG86" s="884"/>
      <c r="GH86" s="884"/>
      <c r="GI86" s="884"/>
      <c r="GJ86" s="884"/>
      <c r="GK86" s="884"/>
      <c r="GL86" s="884"/>
      <c r="GM86" s="884"/>
      <c r="GN86" s="884"/>
      <c r="GO86" s="884"/>
      <c r="GP86" s="884"/>
      <c r="GQ86" s="884"/>
      <c r="GR86" s="884"/>
      <c r="GS86" s="884"/>
      <c r="GT86" s="884"/>
      <c r="GU86" s="884"/>
      <c r="GV86" s="884"/>
      <c r="GW86" s="884"/>
      <c r="GX86" s="884"/>
      <c r="GY86" s="884"/>
      <c r="GZ86" s="884"/>
      <c r="HA86" s="884"/>
      <c r="HB86" s="884"/>
      <c r="HC86" s="884"/>
      <c r="HD86" s="884"/>
      <c r="HE86" s="884"/>
      <c r="HF86" s="884"/>
      <c r="HG86" s="884"/>
      <c r="HH86" s="884"/>
      <c r="HI86" s="884"/>
      <c r="HJ86" s="884"/>
      <c r="HK86" s="884"/>
      <c r="HL86" s="884"/>
      <c r="HM86" s="884"/>
      <c r="HN86" s="884"/>
      <c r="HO86" s="884"/>
      <c r="HP86" s="884"/>
      <c r="HQ86" s="884"/>
      <c r="HR86" s="884"/>
      <c r="HS86" s="884"/>
      <c r="HT86" s="884"/>
      <c r="HU86" s="884"/>
      <c r="HV86" s="884"/>
      <c r="HW86" s="884"/>
      <c r="HX86" s="884"/>
      <c r="HY86" s="884"/>
      <c r="HZ86" s="884"/>
      <c r="IA86" s="884"/>
      <c r="IB86" s="884"/>
      <c r="IC86" s="884"/>
      <c r="ID86" s="884"/>
      <c r="IE86" s="884"/>
      <c r="IF86" s="884"/>
      <c r="IG86" s="884"/>
      <c r="IH86" s="884"/>
      <c r="II86" s="884"/>
      <c r="IJ86" s="884"/>
      <c r="IK86" s="884"/>
      <c r="IL86" s="884"/>
      <c r="IM86" s="884"/>
      <c r="IN86" s="884"/>
      <c r="IO86" s="884"/>
      <c r="IP86" s="884"/>
      <c r="IQ86" s="884"/>
      <c r="IR86" s="884"/>
      <c r="IS86" s="884"/>
      <c r="IT86" s="884"/>
      <c r="IU86" s="884"/>
      <c r="IV86" s="884"/>
      <c r="IW86" s="884"/>
      <c r="IX86" s="884"/>
      <c r="IY86" s="884"/>
      <c r="IZ86" s="884"/>
      <c r="JA86" s="884"/>
      <c r="JB86" s="884"/>
      <c r="JC86" s="884"/>
      <c r="JD86" s="884"/>
      <c r="JE86" s="884"/>
      <c r="JF86" s="884"/>
      <c r="JG86" s="884"/>
      <c r="JH86" s="884"/>
      <c r="JI86" s="884"/>
      <c r="JJ86" s="884"/>
      <c r="JK86" s="884"/>
      <c r="JL86" s="884"/>
      <c r="JM86" s="884"/>
      <c r="JN86" s="884"/>
      <c r="JO86" s="884"/>
      <c r="JP86" s="884"/>
      <c r="JQ86" s="884"/>
      <c r="JR86" s="884"/>
      <c r="JS86" s="884"/>
      <c r="JT86" s="884"/>
      <c r="JU86" s="884"/>
      <c r="JV86" s="884"/>
      <c r="JW86" s="884"/>
    </row>
    <row r="87" spans="1:283" s="883" customFormat="1" ht="57" x14ac:dyDescent="0.2">
      <c r="A87" s="953"/>
      <c r="B87" s="954"/>
      <c r="C87" s="4062"/>
      <c r="D87" s="4063"/>
      <c r="E87" s="973"/>
      <c r="F87" s="971"/>
      <c r="G87" s="4090"/>
      <c r="H87" s="4091"/>
      <c r="I87" s="4092"/>
      <c r="J87" s="4093"/>
      <c r="K87" s="4094"/>
      <c r="L87" s="4079"/>
      <c r="M87" s="4102"/>
      <c r="N87" s="4083"/>
      <c r="O87" s="4103"/>
      <c r="P87" s="4081"/>
      <c r="Q87" s="2638"/>
      <c r="R87" s="976" t="s">
        <v>881</v>
      </c>
      <c r="S87" s="912">
        <v>50000000</v>
      </c>
      <c r="T87" s="2490" t="s">
        <v>61</v>
      </c>
      <c r="U87" s="2485" t="s">
        <v>357</v>
      </c>
      <c r="V87" s="4095"/>
      <c r="W87" s="4095"/>
      <c r="X87" s="4100"/>
      <c r="Y87" s="4101"/>
      <c r="Z87" s="4101"/>
      <c r="AA87" s="4101"/>
      <c r="AB87" s="4101"/>
      <c r="AC87" s="4101"/>
      <c r="AD87" s="4101"/>
      <c r="AE87" s="4101"/>
      <c r="AF87" s="4101"/>
      <c r="AG87" s="4101"/>
      <c r="AH87" s="4101"/>
      <c r="AI87" s="4101"/>
      <c r="AJ87" s="4101"/>
      <c r="AK87" s="4101"/>
      <c r="AL87" s="4107"/>
      <c r="AM87" s="4107"/>
      <c r="AN87" s="4106"/>
      <c r="AT87" s="884"/>
      <c r="AU87" s="884"/>
      <c r="AV87" s="884"/>
      <c r="AW87" s="884"/>
      <c r="AX87" s="884"/>
      <c r="AY87" s="884"/>
      <c r="AZ87" s="884"/>
      <c r="BA87" s="884"/>
      <c r="BB87" s="884"/>
      <c r="BC87" s="884"/>
      <c r="BD87" s="884"/>
      <c r="BE87" s="884"/>
      <c r="BF87" s="884"/>
      <c r="BG87" s="884"/>
      <c r="BH87" s="884"/>
      <c r="BI87" s="884"/>
      <c r="BJ87" s="884"/>
      <c r="BK87" s="884"/>
      <c r="BL87" s="884"/>
      <c r="BM87" s="884"/>
      <c r="BN87" s="884"/>
      <c r="BO87" s="884"/>
      <c r="BP87" s="884"/>
      <c r="BQ87" s="884"/>
      <c r="BR87" s="884"/>
      <c r="BS87" s="884"/>
      <c r="BT87" s="884"/>
      <c r="BU87" s="884"/>
      <c r="BV87" s="884"/>
      <c r="BW87" s="884"/>
      <c r="BX87" s="884"/>
      <c r="BY87" s="884"/>
      <c r="BZ87" s="884"/>
      <c r="CA87" s="884"/>
      <c r="CB87" s="884"/>
      <c r="CC87" s="884"/>
      <c r="CD87" s="884"/>
      <c r="CE87" s="884"/>
      <c r="CF87" s="884"/>
      <c r="CG87" s="884"/>
      <c r="CH87" s="884"/>
      <c r="CI87" s="884"/>
      <c r="CJ87" s="884"/>
      <c r="CK87" s="884"/>
      <c r="CL87" s="884"/>
      <c r="CM87" s="884"/>
      <c r="CN87" s="884"/>
      <c r="CO87" s="884"/>
      <c r="CP87" s="884"/>
      <c r="CQ87" s="884"/>
      <c r="CR87" s="884"/>
      <c r="CS87" s="884"/>
      <c r="CT87" s="884"/>
      <c r="CU87" s="884"/>
      <c r="CV87" s="884"/>
      <c r="CW87" s="884"/>
      <c r="CX87" s="884"/>
      <c r="CY87" s="884"/>
      <c r="CZ87" s="884"/>
      <c r="DA87" s="884"/>
      <c r="DB87" s="884"/>
      <c r="DC87" s="884"/>
      <c r="DD87" s="884"/>
      <c r="DE87" s="884"/>
      <c r="DF87" s="884"/>
      <c r="DG87" s="884"/>
      <c r="DH87" s="884"/>
      <c r="DI87" s="884"/>
      <c r="DJ87" s="884"/>
      <c r="DK87" s="884"/>
      <c r="DL87" s="884"/>
      <c r="DM87" s="884"/>
      <c r="DN87" s="884"/>
      <c r="DO87" s="884"/>
      <c r="DP87" s="884"/>
      <c r="DQ87" s="884"/>
      <c r="DR87" s="884"/>
      <c r="DS87" s="884"/>
      <c r="DT87" s="884"/>
      <c r="DU87" s="884"/>
      <c r="DV87" s="884"/>
      <c r="DW87" s="884"/>
      <c r="DX87" s="884"/>
      <c r="DY87" s="884"/>
      <c r="DZ87" s="884"/>
      <c r="EA87" s="884"/>
      <c r="EB87" s="884"/>
      <c r="EC87" s="884"/>
      <c r="ED87" s="884"/>
      <c r="EE87" s="884"/>
      <c r="EF87" s="884"/>
      <c r="EG87" s="884"/>
      <c r="EH87" s="884"/>
      <c r="EI87" s="884"/>
      <c r="EJ87" s="884"/>
      <c r="EK87" s="884"/>
      <c r="EL87" s="884"/>
      <c r="EM87" s="884"/>
      <c r="EN87" s="884"/>
      <c r="EO87" s="884"/>
      <c r="EP87" s="884"/>
      <c r="EQ87" s="884"/>
      <c r="ER87" s="884"/>
      <c r="ES87" s="884"/>
      <c r="ET87" s="884"/>
      <c r="EU87" s="884"/>
      <c r="EV87" s="884"/>
      <c r="EW87" s="884"/>
      <c r="EX87" s="884"/>
      <c r="EY87" s="884"/>
      <c r="EZ87" s="884"/>
      <c r="FA87" s="884"/>
      <c r="FB87" s="884"/>
      <c r="FC87" s="884"/>
      <c r="FD87" s="884"/>
      <c r="FE87" s="884"/>
      <c r="FF87" s="884"/>
      <c r="FG87" s="884"/>
      <c r="FH87" s="884"/>
      <c r="FI87" s="884"/>
      <c r="FJ87" s="884"/>
      <c r="FK87" s="884"/>
      <c r="FL87" s="884"/>
      <c r="FM87" s="884"/>
      <c r="FN87" s="884"/>
      <c r="FO87" s="884"/>
      <c r="FP87" s="884"/>
      <c r="FQ87" s="884"/>
      <c r="FR87" s="884"/>
      <c r="FS87" s="884"/>
      <c r="FT87" s="884"/>
      <c r="FU87" s="884"/>
      <c r="FV87" s="884"/>
      <c r="FW87" s="884"/>
      <c r="FX87" s="884"/>
      <c r="FY87" s="884"/>
      <c r="FZ87" s="884"/>
      <c r="GA87" s="884"/>
      <c r="GB87" s="884"/>
      <c r="GC87" s="884"/>
      <c r="GD87" s="884"/>
      <c r="GE87" s="884"/>
      <c r="GF87" s="884"/>
      <c r="GG87" s="884"/>
      <c r="GH87" s="884"/>
      <c r="GI87" s="884"/>
      <c r="GJ87" s="884"/>
      <c r="GK87" s="884"/>
      <c r="GL87" s="884"/>
      <c r="GM87" s="884"/>
      <c r="GN87" s="884"/>
      <c r="GO87" s="884"/>
      <c r="GP87" s="884"/>
      <c r="GQ87" s="884"/>
      <c r="GR87" s="884"/>
      <c r="GS87" s="884"/>
      <c r="GT87" s="884"/>
      <c r="GU87" s="884"/>
      <c r="GV87" s="884"/>
      <c r="GW87" s="884"/>
      <c r="GX87" s="884"/>
      <c r="GY87" s="884"/>
      <c r="GZ87" s="884"/>
      <c r="HA87" s="884"/>
      <c r="HB87" s="884"/>
      <c r="HC87" s="884"/>
      <c r="HD87" s="884"/>
      <c r="HE87" s="884"/>
      <c r="HF87" s="884"/>
      <c r="HG87" s="884"/>
      <c r="HH87" s="884"/>
      <c r="HI87" s="884"/>
      <c r="HJ87" s="884"/>
      <c r="HK87" s="884"/>
      <c r="HL87" s="884"/>
      <c r="HM87" s="884"/>
      <c r="HN87" s="884"/>
      <c r="HO87" s="884"/>
      <c r="HP87" s="884"/>
      <c r="HQ87" s="884"/>
      <c r="HR87" s="884"/>
      <c r="HS87" s="884"/>
      <c r="HT87" s="884"/>
      <c r="HU87" s="884"/>
      <c r="HV87" s="884"/>
      <c r="HW87" s="884"/>
      <c r="HX87" s="884"/>
      <c r="HY87" s="884"/>
      <c r="HZ87" s="884"/>
      <c r="IA87" s="884"/>
      <c r="IB87" s="884"/>
      <c r="IC87" s="884"/>
      <c r="ID87" s="884"/>
      <c r="IE87" s="884"/>
      <c r="IF87" s="884"/>
      <c r="IG87" s="884"/>
      <c r="IH87" s="884"/>
      <c r="II87" s="884"/>
      <c r="IJ87" s="884"/>
      <c r="IK87" s="884"/>
      <c r="IL87" s="884"/>
      <c r="IM87" s="884"/>
      <c r="IN87" s="884"/>
      <c r="IO87" s="884"/>
      <c r="IP87" s="884"/>
      <c r="IQ87" s="884"/>
      <c r="IR87" s="884"/>
      <c r="IS87" s="884"/>
      <c r="IT87" s="884"/>
      <c r="IU87" s="884"/>
      <c r="IV87" s="884"/>
      <c r="IW87" s="884"/>
      <c r="IX87" s="884"/>
      <c r="IY87" s="884"/>
      <c r="IZ87" s="884"/>
      <c r="JA87" s="884"/>
      <c r="JB87" s="884"/>
      <c r="JC87" s="884"/>
      <c r="JD87" s="884"/>
      <c r="JE87" s="884"/>
      <c r="JF87" s="884"/>
      <c r="JG87" s="884"/>
      <c r="JH87" s="884"/>
      <c r="JI87" s="884"/>
      <c r="JJ87" s="884"/>
      <c r="JK87" s="884"/>
      <c r="JL87" s="884"/>
      <c r="JM87" s="884"/>
      <c r="JN87" s="884"/>
      <c r="JO87" s="884"/>
      <c r="JP87" s="884"/>
      <c r="JQ87" s="884"/>
      <c r="JR87" s="884"/>
      <c r="JS87" s="884"/>
      <c r="JT87" s="884"/>
      <c r="JU87" s="884"/>
      <c r="JV87" s="884"/>
      <c r="JW87" s="884"/>
    </row>
    <row r="88" spans="1:283" s="883" customFormat="1" ht="57" x14ac:dyDescent="0.2">
      <c r="A88" s="953"/>
      <c r="B88" s="954"/>
      <c r="C88" s="4062"/>
      <c r="D88" s="4063"/>
      <c r="E88" s="973"/>
      <c r="F88" s="971"/>
      <c r="G88" s="4090"/>
      <c r="H88" s="4091"/>
      <c r="I88" s="4092"/>
      <c r="J88" s="4093"/>
      <c r="K88" s="4094"/>
      <c r="L88" s="4079"/>
      <c r="M88" s="4091"/>
      <c r="N88" s="4083"/>
      <c r="O88" s="4104"/>
      <c r="P88" s="4081"/>
      <c r="Q88" s="2638"/>
      <c r="R88" s="976" t="s">
        <v>882</v>
      </c>
      <c r="S88" s="912">
        <v>150000000</v>
      </c>
      <c r="T88" s="2490" t="s">
        <v>61</v>
      </c>
      <c r="U88" s="2485" t="s">
        <v>357</v>
      </c>
      <c r="V88" s="4095"/>
      <c r="W88" s="4095"/>
      <c r="X88" s="4100"/>
      <c r="Y88" s="4101"/>
      <c r="Z88" s="4101"/>
      <c r="AA88" s="4101"/>
      <c r="AB88" s="4101"/>
      <c r="AC88" s="4101"/>
      <c r="AD88" s="4101"/>
      <c r="AE88" s="4101"/>
      <c r="AF88" s="4101"/>
      <c r="AG88" s="4101"/>
      <c r="AH88" s="4101"/>
      <c r="AI88" s="4101"/>
      <c r="AJ88" s="4101"/>
      <c r="AK88" s="4101"/>
      <c r="AL88" s="4095"/>
      <c r="AM88" s="4095"/>
      <c r="AN88" s="2638"/>
      <c r="AT88" s="884"/>
      <c r="AU88" s="884"/>
      <c r="AV88" s="884"/>
      <c r="AW88" s="884"/>
      <c r="AX88" s="884"/>
      <c r="AY88" s="884"/>
      <c r="AZ88" s="884"/>
      <c r="BA88" s="884"/>
      <c r="BB88" s="884"/>
      <c r="BC88" s="884"/>
      <c r="BD88" s="884"/>
      <c r="BE88" s="884"/>
      <c r="BF88" s="884"/>
      <c r="BG88" s="884"/>
      <c r="BH88" s="884"/>
      <c r="BI88" s="884"/>
      <c r="BJ88" s="884"/>
      <c r="BK88" s="884"/>
      <c r="BL88" s="884"/>
      <c r="BM88" s="884"/>
      <c r="BN88" s="884"/>
      <c r="BO88" s="884"/>
      <c r="BP88" s="884"/>
      <c r="BQ88" s="884"/>
      <c r="BR88" s="884"/>
      <c r="BS88" s="884"/>
      <c r="BT88" s="884"/>
      <c r="BU88" s="884"/>
      <c r="BV88" s="884"/>
      <c r="BW88" s="884"/>
      <c r="BX88" s="884"/>
      <c r="BY88" s="884"/>
      <c r="BZ88" s="884"/>
      <c r="CA88" s="884"/>
      <c r="CB88" s="884"/>
      <c r="CC88" s="884"/>
      <c r="CD88" s="884"/>
      <c r="CE88" s="884"/>
      <c r="CF88" s="884"/>
      <c r="CG88" s="884"/>
      <c r="CH88" s="884"/>
      <c r="CI88" s="884"/>
      <c r="CJ88" s="884"/>
      <c r="CK88" s="884"/>
      <c r="CL88" s="884"/>
      <c r="CM88" s="884"/>
      <c r="CN88" s="884"/>
      <c r="CO88" s="884"/>
      <c r="CP88" s="884"/>
      <c r="CQ88" s="884"/>
      <c r="CR88" s="884"/>
      <c r="CS88" s="884"/>
      <c r="CT88" s="884"/>
      <c r="CU88" s="884"/>
      <c r="CV88" s="884"/>
      <c r="CW88" s="884"/>
      <c r="CX88" s="884"/>
      <c r="CY88" s="884"/>
      <c r="CZ88" s="884"/>
      <c r="DA88" s="884"/>
      <c r="DB88" s="884"/>
      <c r="DC88" s="884"/>
      <c r="DD88" s="884"/>
      <c r="DE88" s="884"/>
      <c r="DF88" s="884"/>
      <c r="DG88" s="884"/>
      <c r="DH88" s="884"/>
      <c r="DI88" s="884"/>
      <c r="DJ88" s="884"/>
      <c r="DK88" s="884"/>
      <c r="DL88" s="884"/>
      <c r="DM88" s="884"/>
      <c r="DN88" s="884"/>
      <c r="DO88" s="884"/>
      <c r="DP88" s="884"/>
      <c r="DQ88" s="884"/>
      <c r="DR88" s="884"/>
      <c r="DS88" s="884"/>
      <c r="DT88" s="884"/>
      <c r="DU88" s="884"/>
      <c r="DV88" s="884"/>
      <c r="DW88" s="884"/>
      <c r="DX88" s="884"/>
      <c r="DY88" s="884"/>
      <c r="DZ88" s="884"/>
      <c r="EA88" s="884"/>
      <c r="EB88" s="884"/>
      <c r="EC88" s="884"/>
      <c r="ED88" s="884"/>
      <c r="EE88" s="884"/>
      <c r="EF88" s="884"/>
      <c r="EG88" s="884"/>
      <c r="EH88" s="884"/>
      <c r="EI88" s="884"/>
      <c r="EJ88" s="884"/>
      <c r="EK88" s="884"/>
      <c r="EL88" s="884"/>
      <c r="EM88" s="884"/>
      <c r="EN88" s="884"/>
      <c r="EO88" s="884"/>
      <c r="EP88" s="884"/>
      <c r="EQ88" s="884"/>
      <c r="ER88" s="884"/>
      <c r="ES88" s="884"/>
      <c r="ET88" s="884"/>
      <c r="EU88" s="884"/>
      <c r="EV88" s="884"/>
      <c r="EW88" s="884"/>
      <c r="EX88" s="884"/>
      <c r="EY88" s="884"/>
      <c r="EZ88" s="884"/>
      <c r="FA88" s="884"/>
      <c r="FB88" s="884"/>
      <c r="FC88" s="884"/>
      <c r="FD88" s="884"/>
      <c r="FE88" s="884"/>
      <c r="FF88" s="884"/>
      <c r="FG88" s="884"/>
      <c r="FH88" s="884"/>
      <c r="FI88" s="884"/>
      <c r="FJ88" s="884"/>
      <c r="FK88" s="884"/>
      <c r="FL88" s="884"/>
      <c r="FM88" s="884"/>
      <c r="FN88" s="884"/>
      <c r="FO88" s="884"/>
      <c r="FP88" s="884"/>
      <c r="FQ88" s="884"/>
      <c r="FR88" s="884"/>
      <c r="FS88" s="884"/>
      <c r="FT88" s="884"/>
      <c r="FU88" s="884"/>
      <c r="FV88" s="884"/>
      <c r="FW88" s="884"/>
      <c r="FX88" s="884"/>
      <c r="FY88" s="884"/>
      <c r="FZ88" s="884"/>
      <c r="GA88" s="884"/>
      <c r="GB88" s="884"/>
      <c r="GC88" s="884"/>
      <c r="GD88" s="884"/>
      <c r="GE88" s="884"/>
      <c r="GF88" s="884"/>
      <c r="GG88" s="884"/>
      <c r="GH88" s="884"/>
      <c r="GI88" s="884"/>
      <c r="GJ88" s="884"/>
      <c r="GK88" s="884"/>
      <c r="GL88" s="884"/>
      <c r="GM88" s="884"/>
      <c r="GN88" s="884"/>
      <c r="GO88" s="884"/>
      <c r="GP88" s="884"/>
      <c r="GQ88" s="884"/>
      <c r="GR88" s="884"/>
      <c r="GS88" s="884"/>
      <c r="GT88" s="884"/>
      <c r="GU88" s="884"/>
      <c r="GV88" s="884"/>
      <c r="GW88" s="884"/>
      <c r="GX88" s="884"/>
      <c r="GY88" s="884"/>
      <c r="GZ88" s="884"/>
      <c r="HA88" s="884"/>
      <c r="HB88" s="884"/>
      <c r="HC88" s="884"/>
      <c r="HD88" s="884"/>
      <c r="HE88" s="884"/>
      <c r="HF88" s="884"/>
      <c r="HG88" s="884"/>
      <c r="HH88" s="884"/>
      <c r="HI88" s="884"/>
      <c r="HJ88" s="884"/>
      <c r="HK88" s="884"/>
      <c r="HL88" s="884"/>
      <c r="HM88" s="884"/>
      <c r="HN88" s="884"/>
      <c r="HO88" s="884"/>
      <c r="HP88" s="884"/>
      <c r="HQ88" s="884"/>
      <c r="HR88" s="884"/>
      <c r="HS88" s="884"/>
      <c r="HT88" s="884"/>
      <c r="HU88" s="884"/>
      <c r="HV88" s="884"/>
      <c r="HW88" s="884"/>
      <c r="HX88" s="884"/>
      <c r="HY88" s="884"/>
      <c r="HZ88" s="884"/>
      <c r="IA88" s="884"/>
      <c r="IB88" s="884"/>
      <c r="IC88" s="884"/>
      <c r="ID88" s="884"/>
      <c r="IE88" s="884"/>
      <c r="IF88" s="884"/>
      <c r="IG88" s="884"/>
      <c r="IH88" s="884"/>
      <c r="II88" s="884"/>
      <c r="IJ88" s="884"/>
      <c r="IK88" s="884"/>
      <c r="IL88" s="884"/>
      <c r="IM88" s="884"/>
      <c r="IN88" s="884"/>
      <c r="IO88" s="884"/>
      <c r="IP88" s="884"/>
      <c r="IQ88" s="884"/>
      <c r="IR88" s="884"/>
      <c r="IS88" s="884"/>
      <c r="IT88" s="884"/>
      <c r="IU88" s="884"/>
      <c r="IV88" s="884"/>
      <c r="IW88" s="884"/>
      <c r="IX88" s="884"/>
      <c r="IY88" s="884"/>
      <c r="IZ88" s="884"/>
      <c r="JA88" s="884"/>
      <c r="JB88" s="884"/>
      <c r="JC88" s="884"/>
      <c r="JD88" s="884"/>
      <c r="JE88" s="884"/>
      <c r="JF88" s="884"/>
      <c r="JG88" s="884"/>
      <c r="JH88" s="884"/>
      <c r="JI88" s="884"/>
      <c r="JJ88" s="884"/>
      <c r="JK88" s="884"/>
      <c r="JL88" s="884"/>
      <c r="JM88" s="884"/>
      <c r="JN88" s="884"/>
      <c r="JO88" s="884"/>
      <c r="JP88" s="884"/>
      <c r="JQ88" s="884"/>
      <c r="JR88" s="884"/>
      <c r="JS88" s="884"/>
      <c r="JT88" s="884"/>
      <c r="JU88" s="884"/>
      <c r="JV88" s="884"/>
      <c r="JW88" s="884"/>
    </row>
    <row r="89" spans="1:283" s="883" customFormat="1" ht="42.75" x14ac:dyDescent="0.2">
      <c r="A89" s="953"/>
      <c r="B89" s="954"/>
      <c r="C89" s="4062"/>
      <c r="D89" s="4063"/>
      <c r="E89" s="973"/>
      <c r="F89" s="971"/>
      <c r="G89" s="4090"/>
      <c r="H89" s="4091"/>
      <c r="I89" s="4092"/>
      <c r="J89" s="4093"/>
      <c r="K89" s="4094"/>
      <c r="L89" s="4079"/>
      <c r="M89" s="4091"/>
      <c r="N89" s="4083"/>
      <c r="O89" s="4104"/>
      <c r="P89" s="4081"/>
      <c r="Q89" s="2638"/>
      <c r="R89" s="976" t="s">
        <v>883</v>
      </c>
      <c r="S89" s="912">
        <v>50000000</v>
      </c>
      <c r="T89" s="2490" t="s">
        <v>61</v>
      </c>
      <c r="U89" s="2485" t="s">
        <v>357</v>
      </c>
      <c r="V89" s="4095"/>
      <c r="W89" s="4095"/>
      <c r="X89" s="4100"/>
      <c r="Y89" s="4101"/>
      <c r="Z89" s="4101"/>
      <c r="AA89" s="4101"/>
      <c r="AB89" s="4101"/>
      <c r="AC89" s="4101"/>
      <c r="AD89" s="4101"/>
      <c r="AE89" s="4101"/>
      <c r="AF89" s="4101"/>
      <c r="AG89" s="4101"/>
      <c r="AH89" s="4101"/>
      <c r="AI89" s="4101"/>
      <c r="AJ89" s="4101"/>
      <c r="AK89" s="4101"/>
      <c r="AL89" s="4095"/>
      <c r="AM89" s="4095"/>
      <c r="AN89" s="2638"/>
      <c r="AT89" s="884"/>
      <c r="AU89" s="884"/>
      <c r="AV89" s="884"/>
      <c r="AW89" s="884"/>
      <c r="AX89" s="884"/>
      <c r="AY89" s="884"/>
      <c r="AZ89" s="884"/>
      <c r="BA89" s="884"/>
      <c r="BB89" s="884"/>
      <c r="BC89" s="884"/>
      <c r="BD89" s="884"/>
      <c r="BE89" s="884"/>
      <c r="BF89" s="884"/>
      <c r="BG89" s="884"/>
      <c r="BH89" s="884"/>
      <c r="BI89" s="884"/>
      <c r="BJ89" s="884"/>
      <c r="BK89" s="884"/>
      <c r="BL89" s="884"/>
      <c r="BM89" s="884"/>
      <c r="BN89" s="884"/>
      <c r="BO89" s="884"/>
      <c r="BP89" s="884"/>
      <c r="BQ89" s="884"/>
      <c r="BR89" s="884"/>
      <c r="BS89" s="884"/>
      <c r="BT89" s="884"/>
      <c r="BU89" s="884"/>
      <c r="BV89" s="884"/>
      <c r="BW89" s="884"/>
      <c r="BX89" s="884"/>
      <c r="BY89" s="884"/>
      <c r="BZ89" s="884"/>
      <c r="CA89" s="884"/>
      <c r="CB89" s="884"/>
      <c r="CC89" s="884"/>
      <c r="CD89" s="884"/>
      <c r="CE89" s="884"/>
      <c r="CF89" s="884"/>
      <c r="CG89" s="884"/>
      <c r="CH89" s="884"/>
      <c r="CI89" s="884"/>
      <c r="CJ89" s="884"/>
      <c r="CK89" s="884"/>
      <c r="CL89" s="884"/>
      <c r="CM89" s="884"/>
      <c r="CN89" s="884"/>
      <c r="CO89" s="884"/>
      <c r="CP89" s="884"/>
      <c r="CQ89" s="884"/>
      <c r="CR89" s="884"/>
      <c r="CS89" s="884"/>
      <c r="CT89" s="884"/>
      <c r="CU89" s="884"/>
      <c r="CV89" s="884"/>
      <c r="CW89" s="884"/>
      <c r="CX89" s="884"/>
      <c r="CY89" s="884"/>
      <c r="CZ89" s="884"/>
      <c r="DA89" s="884"/>
      <c r="DB89" s="884"/>
      <c r="DC89" s="884"/>
      <c r="DD89" s="884"/>
      <c r="DE89" s="884"/>
      <c r="DF89" s="884"/>
      <c r="DG89" s="884"/>
      <c r="DH89" s="884"/>
      <c r="DI89" s="884"/>
      <c r="DJ89" s="884"/>
      <c r="DK89" s="884"/>
      <c r="DL89" s="884"/>
      <c r="DM89" s="884"/>
      <c r="DN89" s="884"/>
      <c r="DO89" s="884"/>
      <c r="DP89" s="884"/>
      <c r="DQ89" s="884"/>
      <c r="DR89" s="884"/>
      <c r="DS89" s="884"/>
      <c r="DT89" s="884"/>
      <c r="DU89" s="884"/>
      <c r="DV89" s="884"/>
      <c r="DW89" s="884"/>
      <c r="DX89" s="884"/>
      <c r="DY89" s="884"/>
      <c r="DZ89" s="884"/>
      <c r="EA89" s="884"/>
      <c r="EB89" s="884"/>
      <c r="EC89" s="884"/>
      <c r="ED89" s="884"/>
      <c r="EE89" s="884"/>
      <c r="EF89" s="884"/>
      <c r="EG89" s="884"/>
      <c r="EH89" s="884"/>
      <c r="EI89" s="884"/>
      <c r="EJ89" s="884"/>
      <c r="EK89" s="884"/>
      <c r="EL89" s="884"/>
      <c r="EM89" s="884"/>
      <c r="EN89" s="884"/>
      <c r="EO89" s="884"/>
      <c r="EP89" s="884"/>
      <c r="EQ89" s="884"/>
      <c r="ER89" s="884"/>
      <c r="ES89" s="884"/>
      <c r="ET89" s="884"/>
      <c r="EU89" s="884"/>
      <c r="EV89" s="884"/>
      <c r="EW89" s="884"/>
      <c r="EX89" s="884"/>
      <c r="EY89" s="884"/>
      <c r="EZ89" s="884"/>
      <c r="FA89" s="884"/>
      <c r="FB89" s="884"/>
      <c r="FC89" s="884"/>
      <c r="FD89" s="884"/>
      <c r="FE89" s="884"/>
      <c r="FF89" s="884"/>
      <c r="FG89" s="884"/>
      <c r="FH89" s="884"/>
      <c r="FI89" s="884"/>
      <c r="FJ89" s="884"/>
      <c r="FK89" s="884"/>
      <c r="FL89" s="884"/>
      <c r="FM89" s="884"/>
      <c r="FN89" s="884"/>
      <c r="FO89" s="884"/>
      <c r="FP89" s="884"/>
      <c r="FQ89" s="884"/>
      <c r="FR89" s="884"/>
      <c r="FS89" s="884"/>
      <c r="FT89" s="884"/>
      <c r="FU89" s="884"/>
      <c r="FV89" s="884"/>
      <c r="FW89" s="884"/>
      <c r="FX89" s="884"/>
      <c r="FY89" s="884"/>
      <c r="FZ89" s="884"/>
      <c r="GA89" s="884"/>
      <c r="GB89" s="884"/>
      <c r="GC89" s="884"/>
      <c r="GD89" s="884"/>
      <c r="GE89" s="884"/>
      <c r="GF89" s="884"/>
      <c r="GG89" s="884"/>
      <c r="GH89" s="884"/>
      <c r="GI89" s="884"/>
      <c r="GJ89" s="884"/>
      <c r="GK89" s="884"/>
      <c r="GL89" s="884"/>
      <c r="GM89" s="884"/>
      <c r="GN89" s="884"/>
      <c r="GO89" s="884"/>
      <c r="GP89" s="884"/>
      <c r="GQ89" s="884"/>
      <c r="GR89" s="884"/>
      <c r="GS89" s="884"/>
      <c r="GT89" s="884"/>
      <c r="GU89" s="884"/>
      <c r="GV89" s="884"/>
      <c r="GW89" s="884"/>
      <c r="GX89" s="884"/>
      <c r="GY89" s="884"/>
      <c r="GZ89" s="884"/>
      <c r="HA89" s="884"/>
      <c r="HB89" s="884"/>
      <c r="HC89" s="884"/>
      <c r="HD89" s="884"/>
      <c r="HE89" s="884"/>
      <c r="HF89" s="884"/>
      <c r="HG89" s="884"/>
      <c r="HH89" s="884"/>
      <c r="HI89" s="884"/>
      <c r="HJ89" s="884"/>
      <c r="HK89" s="884"/>
      <c r="HL89" s="884"/>
      <c r="HM89" s="884"/>
      <c r="HN89" s="884"/>
      <c r="HO89" s="884"/>
      <c r="HP89" s="884"/>
      <c r="HQ89" s="884"/>
      <c r="HR89" s="884"/>
      <c r="HS89" s="884"/>
      <c r="HT89" s="884"/>
      <c r="HU89" s="884"/>
      <c r="HV89" s="884"/>
      <c r="HW89" s="884"/>
      <c r="HX89" s="884"/>
      <c r="HY89" s="884"/>
      <c r="HZ89" s="884"/>
      <c r="IA89" s="884"/>
      <c r="IB89" s="884"/>
      <c r="IC89" s="884"/>
      <c r="ID89" s="884"/>
      <c r="IE89" s="884"/>
      <c r="IF89" s="884"/>
      <c r="IG89" s="884"/>
      <c r="IH89" s="884"/>
      <c r="II89" s="884"/>
      <c r="IJ89" s="884"/>
      <c r="IK89" s="884"/>
      <c r="IL89" s="884"/>
      <c r="IM89" s="884"/>
      <c r="IN89" s="884"/>
      <c r="IO89" s="884"/>
      <c r="IP89" s="884"/>
      <c r="IQ89" s="884"/>
      <c r="IR89" s="884"/>
      <c r="IS89" s="884"/>
      <c r="IT89" s="884"/>
      <c r="IU89" s="884"/>
      <c r="IV89" s="884"/>
      <c r="IW89" s="884"/>
      <c r="IX89" s="884"/>
      <c r="IY89" s="884"/>
      <c r="IZ89" s="884"/>
      <c r="JA89" s="884"/>
      <c r="JB89" s="884"/>
      <c r="JC89" s="884"/>
      <c r="JD89" s="884"/>
      <c r="JE89" s="884"/>
      <c r="JF89" s="884"/>
      <c r="JG89" s="884"/>
      <c r="JH89" s="884"/>
      <c r="JI89" s="884"/>
      <c r="JJ89" s="884"/>
      <c r="JK89" s="884"/>
      <c r="JL89" s="884"/>
      <c r="JM89" s="884"/>
      <c r="JN89" s="884"/>
      <c r="JO89" s="884"/>
      <c r="JP89" s="884"/>
      <c r="JQ89" s="884"/>
      <c r="JR89" s="884"/>
      <c r="JS89" s="884"/>
      <c r="JT89" s="884"/>
      <c r="JU89" s="884"/>
      <c r="JV89" s="884"/>
      <c r="JW89" s="884"/>
    </row>
    <row r="90" spans="1:283" s="883" customFormat="1" ht="35.25" customHeight="1" x14ac:dyDescent="0.2">
      <c r="A90" s="953"/>
      <c r="B90" s="954"/>
      <c r="C90" s="4062"/>
      <c r="D90" s="4063"/>
      <c r="E90" s="973"/>
      <c r="F90" s="971"/>
      <c r="G90" s="4090"/>
      <c r="H90" s="4091"/>
      <c r="I90" s="4092"/>
      <c r="J90" s="4093"/>
      <c r="K90" s="4094"/>
      <c r="L90" s="4079"/>
      <c r="M90" s="4091"/>
      <c r="N90" s="4083"/>
      <c r="O90" s="4104"/>
      <c r="P90" s="4081"/>
      <c r="Q90" s="2638"/>
      <c r="R90" s="976" t="s">
        <v>884</v>
      </c>
      <c r="S90" s="912">
        <v>30000000</v>
      </c>
      <c r="T90" s="2490" t="s">
        <v>61</v>
      </c>
      <c r="U90" s="2485" t="s">
        <v>357</v>
      </c>
      <c r="V90" s="4095"/>
      <c r="W90" s="4095"/>
      <c r="X90" s="4100"/>
      <c r="Y90" s="4101"/>
      <c r="Z90" s="4101"/>
      <c r="AA90" s="4101"/>
      <c r="AB90" s="4101"/>
      <c r="AC90" s="4101"/>
      <c r="AD90" s="4101"/>
      <c r="AE90" s="4101"/>
      <c r="AF90" s="4101"/>
      <c r="AG90" s="4101"/>
      <c r="AH90" s="4101"/>
      <c r="AI90" s="4101"/>
      <c r="AJ90" s="4101"/>
      <c r="AK90" s="4101"/>
      <c r="AL90" s="4095"/>
      <c r="AM90" s="4095"/>
      <c r="AN90" s="2638"/>
      <c r="AT90" s="884"/>
      <c r="AU90" s="884"/>
      <c r="AV90" s="884"/>
      <c r="AW90" s="884"/>
      <c r="AX90" s="884"/>
      <c r="AY90" s="884"/>
      <c r="AZ90" s="884"/>
      <c r="BA90" s="884"/>
      <c r="BB90" s="884"/>
      <c r="BC90" s="884"/>
      <c r="BD90" s="884"/>
      <c r="BE90" s="884"/>
      <c r="BF90" s="884"/>
      <c r="BG90" s="884"/>
      <c r="BH90" s="884"/>
      <c r="BI90" s="884"/>
      <c r="BJ90" s="884"/>
      <c r="BK90" s="884"/>
      <c r="BL90" s="884"/>
      <c r="BM90" s="884"/>
      <c r="BN90" s="884"/>
      <c r="BO90" s="884"/>
      <c r="BP90" s="884"/>
      <c r="BQ90" s="884"/>
      <c r="BR90" s="884"/>
      <c r="BS90" s="884"/>
      <c r="BT90" s="884"/>
      <c r="BU90" s="884"/>
      <c r="BV90" s="884"/>
      <c r="BW90" s="884"/>
      <c r="BX90" s="884"/>
      <c r="BY90" s="884"/>
      <c r="BZ90" s="884"/>
      <c r="CA90" s="884"/>
      <c r="CB90" s="884"/>
      <c r="CC90" s="884"/>
      <c r="CD90" s="884"/>
      <c r="CE90" s="884"/>
      <c r="CF90" s="884"/>
      <c r="CG90" s="884"/>
      <c r="CH90" s="884"/>
      <c r="CI90" s="884"/>
      <c r="CJ90" s="884"/>
      <c r="CK90" s="884"/>
      <c r="CL90" s="884"/>
      <c r="CM90" s="884"/>
      <c r="CN90" s="884"/>
      <c r="CO90" s="884"/>
      <c r="CP90" s="884"/>
      <c r="CQ90" s="884"/>
      <c r="CR90" s="884"/>
      <c r="CS90" s="884"/>
      <c r="CT90" s="884"/>
      <c r="CU90" s="884"/>
      <c r="CV90" s="884"/>
      <c r="CW90" s="884"/>
      <c r="CX90" s="884"/>
      <c r="CY90" s="884"/>
      <c r="CZ90" s="884"/>
      <c r="DA90" s="884"/>
      <c r="DB90" s="884"/>
      <c r="DC90" s="884"/>
      <c r="DD90" s="884"/>
      <c r="DE90" s="884"/>
      <c r="DF90" s="884"/>
      <c r="DG90" s="884"/>
      <c r="DH90" s="884"/>
      <c r="DI90" s="884"/>
      <c r="DJ90" s="884"/>
      <c r="DK90" s="884"/>
      <c r="DL90" s="884"/>
      <c r="DM90" s="884"/>
      <c r="DN90" s="884"/>
      <c r="DO90" s="884"/>
      <c r="DP90" s="884"/>
      <c r="DQ90" s="884"/>
      <c r="DR90" s="884"/>
      <c r="DS90" s="884"/>
      <c r="DT90" s="884"/>
      <c r="DU90" s="884"/>
      <c r="DV90" s="884"/>
      <c r="DW90" s="884"/>
      <c r="DX90" s="884"/>
      <c r="DY90" s="884"/>
      <c r="DZ90" s="884"/>
      <c r="EA90" s="884"/>
      <c r="EB90" s="884"/>
      <c r="EC90" s="884"/>
      <c r="ED90" s="884"/>
      <c r="EE90" s="884"/>
      <c r="EF90" s="884"/>
      <c r="EG90" s="884"/>
      <c r="EH90" s="884"/>
      <c r="EI90" s="884"/>
      <c r="EJ90" s="884"/>
      <c r="EK90" s="884"/>
      <c r="EL90" s="884"/>
      <c r="EM90" s="884"/>
      <c r="EN90" s="884"/>
      <c r="EO90" s="884"/>
      <c r="EP90" s="884"/>
      <c r="EQ90" s="884"/>
      <c r="ER90" s="884"/>
      <c r="ES90" s="884"/>
      <c r="ET90" s="884"/>
      <c r="EU90" s="884"/>
      <c r="EV90" s="884"/>
      <c r="EW90" s="884"/>
      <c r="EX90" s="884"/>
      <c r="EY90" s="884"/>
      <c r="EZ90" s="884"/>
      <c r="FA90" s="884"/>
      <c r="FB90" s="884"/>
      <c r="FC90" s="884"/>
      <c r="FD90" s="884"/>
      <c r="FE90" s="884"/>
      <c r="FF90" s="884"/>
      <c r="FG90" s="884"/>
      <c r="FH90" s="884"/>
      <c r="FI90" s="884"/>
      <c r="FJ90" s="884"/>
      <c r="FK90" s="884"/>
      <c r="FL90" s="884"/>
      <c r="FM90" s="884"/>
      <c r="FN90" s="884"/>
      <c r="FO90" s="884"/>
      <c r="FP90" s="884"/>
      <c r="FQ90" s="884"/>
      <c r="FR90" s="884"/>
      <c r="FS90" s="884"/>
      <c r="FT90" s="884"/>
      <c r="FU90" s="884"/>
      <c r="FV90" s="884"/>
      <c r="FW90" s="884"/>
      <c r="FX90" s="884"/>
      <c r="FY90" s="884"/>
      <c r="FZ90" s="884"/>
      <c r="GA90" s="884"/>
      <c r="GB90" s="884"/>
      <c r="GC90" s="884"/>
      <c r="GD90" s="884"/>
      <c r="GE90" s="884"/>
      <c r="GF90" s="884"/>
      <c r="GG90" s="884"/>
      <c r="GH90" s="884"/>
      <c r="GI90" s="884"/>
      <c r="GJ90" s="884"/>
      <c r="GK90" s="884"/>
      <c r="GL90" s="884"/>
      <c r="GM90" s="884"/>
      <c r="GN90" s="884"/>
      <c r="GO90" s="884"/>
      <c r="GP90" s="884"/>
      <c r="GQ90" s="884"/>
      <c r="GR90" s="884"/>
      <c r="GS90" s="884"/>
      <c r="GT90" s="884"/>
      <c r="GU90" s="884"/>
      <c r="GV90" s="884"/>
      <c r="GW90" s="884"/>
      <c r="GX90" s="884"/>
      <c r="GY90" s="884"/>
      <c r="GZ90" s="884"/>
      <c r="HA90" s="884"/>
      <c r="HB90" s="884"/>
      <c r="HC90" s="884"/>
      <c r="HD90" s="884"/>
      <c r="HE90" s="884"/>
      <c r="HF90" s="884"/>
      <c r="HG90" s="884"/>
      <c r="HH90" s="884"/>
      <c r="HI90" s="884"/>
      <c r="HJ90" s="884"/>
      <c r="HK90" s="884"/>
      <c r="HL90" s="884"/>
      <c r="HM90" s="884"/>
      <c r="HN90" s="884"/>
      <c r="HO90" s="884"/>
      <c r="HP90" s="884"/>
      <c r="HQ90" s="884"/>
      <c r="HR90" s="884"/>
      <c r="HS90" s="884"/>
      <c r="HT90" s="884"/>
      <c r="HU90" s="884"/>
      <c r="HV90" s="884"/>
      <c r="HW90" s="884"/>
      <c r="HX90" s="884"/>
      <c r="HY90" s="884"/>
      <c r="HZ90" s="884"/>
      <c r="IA90" s="884"/>
      <c r="IB90" s="884"/>
      <c r="IC90" s="884"/>
      <c r="ID90" s="884"/>
      <c r="IE90" s="884"/>
      <c r="IF90" s="884"/>
      <c r="IG90" s="884"/>
      <c r="IH90" s="884"/>
      <c r="II90" s="884"/>
      <c r="IJ90" s="884"/>
      <c r="IK90" s="884"/>
      <c r="IL90" s="884"/>
      <c r="IM90" s="884"/>
      <c r="IN90" s="884"/>
      <c r="IO90" s="884"/>
      <c r="IP90" s="884"/>
      <c r="IQ90" s="884"/>
      <c r="IR90" s="884"/>
      <c r="IS90" s="884"/>
      <c r="IT90" s="884"/>
      <c r="IU90" s="884"/>
      <c r="IV90" s="884"/>
      <c r="IW90" s="884"/>
      <c r="IX90" s="884"/>
      <c r="IY90" s="884"/>
      <c r="IZ90" s="884"/>
      <c r="JA90" s="884"/>
      <c r="JB90" s="884"/>
      <c r="JC90" s="884"/>
      <c r="JD90" s="884"/>
      <c r="JE90" s="884"/>
      <c r="JF90" s="884"/>
      <c r="JG90" s="884"/>
      <c r="JH90" s="884"/>
      <c r="JI90" s="884"/>
      <c r="JJ90" s="884"/>
      <c r="JK90" s="884"/>
      <c r="JL90" s="884"/>
      <c r="JM90" s="884"/>
      <c r="JN90" s="884"/>
      <c r="JO90" s="884"/>
      <c r="JP90" s="884"/>
      <c r="JQ90" s="884"/>
      <c r="JR90" s="884"/>
      <c r="JS90" s="884"/>
      <c r="JT90" s="884"/>
      <c r="JU90" s="884"/>
      <c r="JV90" s="884"/>
      <c r="JW90" s="884"/>
    </row>
    <row r="91" spans="1:283" s="883" customFormat="1" ht="42.75" x14ac:dyDescent="0.2">
      <c r="A91" s="953"/>
      <c r="B91" s="954"/>
      <c r="C91" s="4064"/>
      <c r="D91" s="4065"/>
      <c r="E91" s="973"/>
      <c r="F91" s="971"/>
      <c r="G91" s="4090"/>
      <c r="H91" s="4091"/>
      <c r="I91" s="4092"/>
      <c r="J91" s="4093"/>
      <c r="K91" s="4094"/>
      <c r="L91" s="4079"/>
      <c r="M91" s="4091"/>
      <c r="N91" s="4083"/>
      <c r="O91" s="4104"/>
      <c r="P91" s="4081"/>
      <c r="Q91" s="2638"/>
      <c r="R91" s="976" t="s">
        <v>885</v>
      </c>
      <c r="S91" s="912">
        <v>20000000</v>
      </c>
      <c r="T91" s="2490" t="s">
        <v>61</v>
      </c>
      <c r="U91" s="2485" t="s">
        <v>357</v>
      </c>
      <c r="V91" s="4095"/>
      <c r="W91" s="4095"/>
      <c r="X91" s="4100"/>
      <c r="Y91" s="4101"/>
      <c r="Z91" s="4101"/>
      <c r="AA91" s="4101"/>
      <c r="AB91" s="4101"/>
      <c r="AC91" s="4101"/>
      <c r="AD91" s="4101"/>
      <c r="AE91" s="4101"/>
      <c r="AF91" s="4101"/>
      <c r="AG91" s="4101"/>
      <c r="AH91" s="4101"/>
      <c r="AI91" s="4101"/>
      <c r="AJ91" s="4101"/>
      <c r="AK91" s="4101"/>
      <c r="AL91" s="4095"/>
      <c r="AM91" s="4095"/>
      <c r="AN91" s="2638"/>
      <c r="AT91" s="884"/>
      <c r="AU91" s="884"/>
      <c r="AV91" s="884"/>
      <c r="AW91" s="884"/>
      <c r="AX91" s="884"/>
      <c r="AY91" s="884"/>
      <c r="AZ91" s="884"/>
      <c r="BA91" s="884"/>
      <c r="BB91" s="884"/>
      <c r="BC91" s="884"/>
      <c r="BD91" s="884"/>
      <c r="BE91" s="884"/>
      <c r="BF91" s="884"/>
      <c r="BG91" s="884"/>
      <c r="BH91" s="884"/>
      <c r="BI91" s="884"/>
      <c r="BJ91" s="884"/>
      <c r="BK91" s="884"/>
      <c r="BL91" s="884"/>
      <c r="BM91" s="884"/>
      <c r="BN91" s="884"/>
      <c r="BO91" s="884"/>
      <c r="BP91" s="884"/>
      <c r="BQ91" s="884"/>
      <c r="BR91" s="884"/>
      <c r="BS91" s="884"/>
      <c r="BT91" s="884"/>
      <c r="BU91" s="884"/>
      <c r="BV91" s="884"/>
      <c r="BW91" s="884"/>
      <c r="BX91" s="884"/>
      <c r="BY91" s="884"/>
      <c r="BZ91" s="884"/>
      <c r="CA91" s="884"/>
      <c r="CB91" s="884"/>
      <c r="CC91" s="884"/>
      <c r="CD91" s="884"/>
      <c r="CE91" s="884"/>
      <c r="CF91" s="884"/>
      <c r="CG91" s="884"/>
      <c r="CH91" s="884"/>
      <c r="CI91" s="884"/>
      <c r="CJ91" s="884"/>
      <c r="CK91" s="884"/>
      <c r="CL91" s="884"/>
      <c r="CM91" s="884"/>
      <c r="CN91" s="884"/>
      <c r="CO91" s="884"/>
      <c r="CP91" s="884"/>
      <c r="CQ91" s="884"/>
      <c r="CR91" s="884"/>
      <c r="CS91" s="884"/>
      <c r="CT91" s="884"/>
      <c r="CU91" s="884"/>
      <c r="CV91" s="884"/>
      <c r="CW91" s="884"/>
      <c r="CX91" s="884"/>
      <c r="CY91" s="884"/>
      <c r="CZ91" s="884"/>
      <c r="DA91" s="884"/>
      <c r="DB91" s="884"/>
      <c r="DC91" s="884"/>
      <c r="DD91" s="884"/>
      <c r="DE91" s="884"/>
      <c r="DF91" s="884"/>
      <c r="DG91" s="884"/>
      <c r="DH91" s="884"/>
      <c r="DI91" s="884"/>
      <c r="DJ91" s="884"/>
      <c r="DK91" s="884"/>
      <c r="DL91" s="884"/>
      <c r="DM91" s="884"/>
      <c r="DN91" s="884"/>
      <c r="DO91" s="884"/>
      <c r="DP91" s="884"/>
      <c r="DQ91" s="884"/>
      <c r="DR91" s="884"/>
      <c r="DS91" s="884"/>
      <c r="DT91" s="884"/>
      <c r="DU91" s="884"/>
      <c r="DV91" s="884"/>
      <c r="DW91" s="884"/>
      <c r="DX91" s="884"/>
      <c r="DY91" s="884"/>
      <c r="DZ91" s="884"/>
      <c r="EA91" s="884"/>
      <c r="EB91" s="884"/>
      <c r="EC91" s="884"/>
      <c r="ED91" s="884"/>
      <c r="EE91" s="884"/>
      <c r="EF91" s="884"/>
      <c r="EG91" s="884"/>
      <c r="EH91" s="884"/>
      <c r="EI91" s="884"/>
      <c r="EJ91" s="884"/>
      <c r="EK91" s="884"/>
      <c r="EL91" s="884"/>
      <c r="EM91" s="884"/>
      <c r="EN91" s="884"/>
      <c r="EO91" s="884"/>
      <c r="EP91" s="884"/>
      <c r="EQ91" s="884"/>
      <c r="ER91" s="884"/>
      <c r="ES91" s="884"/>
      <c r="ET91" s="884"/>
      <c r="EU91" s="884"/>
      <c r="EV91" s="884"/>
      <c r="EW91" s="884"/>
      <c r="EX91" s="884"/>
      <c r="EY91" s="884"/>
      <c r="EZ91" s="884"/>
      <c r="FA91" s="884"/>
      <c r="FB91" s="884"/>
      <c r="FC91" s="884"/>
      <c r="FD91" s="884"/>
      <c r="FE91" s="884"/>
      <c r="FF91" s="884"/>
      <c r="FG91" s="884"/>
      <c r="FH91" s="884"/>
      <c r="FI91" s="884"/>
      <c r="FJ91" s="884"/>
      <c r="FK91" s="884"/>
      <c r="FL91" s="884"/>
      <c r="FM91" s="884"/>
      <c r="FN91" s="884"/>
      <c r="FO91" s="884"/>
      <c r="FP91" s="884"/>
      <c r="FQ91" s="884"/>
      <c r="FR91" s="884"/>
      <c r="FS91" s="884"/>
      <c r="FT91" s="884"/>
      <c r="FU91" s="884"/>
      <c r="FV91" s="884"/>
      <c r="FW91" s="884"/>
      <c r="FX91" s="884"/>
      <c r="FY91" s="884"/>
      <c r="FZ91" s="884"/>
      <c r="GA91" s="884"/>
      <c r="GB91" s="884"/>
      <c r="GC91" s="884"/>
      <c r="GD91" s="884"/>
      <c r="GE91" s="884"/>
      <c r="GF91" s="884"/>
      <c r="GG91" s="884"/>
      <c r="GH91" s="884"/>
      <c r="GI91" s="884"/>
      <c r="GJ91" s="884"/>
      <c r="GK91" s="884"/>
      <c r="GL91" s="884"/>
      <c r="GM91" s="884"/>
      <c r="GN91" s="884"/>
      <c r="GO91" s="884"/>
      <c r="GP91" s="884"/>
      <c r="GQ91" s="884"/>
      <c r="GR91" s="884"/>
      <c r="GS91" s="884"/>
      <c r="GT91" s="884"/>
      <c r="GU91" s="884"/>
      <c r="GV91" s="884"/>
      <c r="GW91" s="884"/>
      <c r="GX91" s="884"/>
      <c r="GY91" s="884"/>
      <c r="GZ91" s="884"/>
      <c r="HA91" s="884"/>
      <c r="HB91" s="884"/>
      <c r="HC91" s="884"/>
      <c r="HD91" s="884"/>
      <c r="HE91" s="884"/>
      <c r="HF91" s="884"/>
      <c r="HG91" s="884"/>
      <c r="HH91" s="884"/>
      <c r="HI91" s="884"/>
      <c r="HJ91" s="884"/>
      <c r="HK91" s="884"/>
      <c r="HL91" s="884"/>
      <c r="HM91" s="884"/>
      <c r="HN91" s="884"/>
      <c r="HO91" s="884"/>
      <c r="HP91" s="884"/>
      <c r="HQ91" s="884"/>
      <c r="HR91" s="884"/>
      <c r="HS91" s="884"/>
      <c r="HT91" s="884"/>
      <c r="HU91" s="884"/>
      <c r="HV91" s="884"/>
      <c r="HW91" s="884"/>
      <c r="HX91" s="884"/>
      <c r="HY91" s="884"/>
      <c r="HZ91" s="884"/>
      <c r="IA91" s="884"/>
      <c r="IB91" s="884"/>
      <c r="IC91" s="884"/>
      <c r="ID91" s="884"/>
      <c r="IE91" s="884"/>
      <c r="IF91" s="884"/>
      <c r="IG91" s="884"/>
      <c r="IH91" s="884"/>
      <c r="II91" s="884"/>
      <c r="IJ91" s="884"/>
      <c r="IK91" s="884"/>
      <c r="IL91" s="884"/>
      <c r="IM91" s="884"/>
      <c r="IN91" s="884"/>
      <c r="IO91" s="884"/>
      <c r="IP91" s="884"/>
      <c r="IQ91" s="884"/>
      <c r="IR91" s="884"/>
      <c r="IS91" s="884"/>
      <c r="IT91" s="884"/>
      <c r="IU91" s="884"/>
      <c r="IV91" s="884"/>
      <c r="IW91" s="884"/>
      <c r="IX91" s="884"/>
      <c r="IY91" s="884"/>
      <c r="IZ91" s="884"/>
      <c r="JA91" s="884"/>
      <c r="JB91" s="884"/>
      <c r="JC91" s="884"/>
      <c r="JD91" s="884"/>
      <c r="JE91" s="884"/>
      <c r="JF91" s="884"/>
      <c r="JG91" s="884"/>
      <c r="JH91" s="884"/>
      <c r="JI91" s="884"/>
      <c r="JJ91" s="884"/>
      <c r="JK91" s="884"/>
      <c r="JL91" s="884"/>
      <c r="JM91" s="884"/>
      <c r="JN91" s="884"/>
      <c r="JO91" s="884"/>
      <c r="JP91" s="884"/>
      <c r="JQ91" s="884"/>
      <c r="JR91" s="884"/>
      <c r="JS91" s="884"/>
      <c r="JT91" s="884"/>
      <c r="JU91" s="884"/>
      <c r="JV91" s="884"/>
      <c r="JW91" s="884"/>
    </row>
    <row r="92" spans="1:283" s="883" customFormat="1" x14ac:dyDescent="0.2">
      <c r="A92" s="953"/>
      <c r="B92" s="954"/>
      <c r="C92" s="955">
        <v>18</v>
      </c>
      <c r="D92" s="979" t="s">
        <v>886</v>
      </c>
      <c r="E92" s="980"/>
      <c r="F92" s="981"/>
      <c r="G92" s="980"/>
      <c r="H92" s="980"/>
      <c r="I92" s="980"/>
      <c r="J92" s="980"/>
      <c r="K92" s="980"/>
      <c r="L92" s="980"/>
      <c r="M92" s="980"/>
      <c r="N92" s="982"/>
      <c r="O92" s="983"/>
      <c r="P92" s="980"/>
      <c r="Q92" s="980"/>
      <c r="R92" s="980"/>
      <c r="S92" s="980"/>
      <c r="T92" s="4562"/>
      <c r="U92" s="4563"/>
      <c r="V92" s="980"/>
      <c r="W92" s="980"/>
      <c r="X92" s="980"/>
      <c r="Y92" s="980"/>
      <c r="Z92" s="980"/>
      <c r="AA92" s="980"/>
      <c r="AB92" s="980"/>
      <c r="AC92" s="980"/>
      <c r="AD92" s="980"/>
      <c r="AE92" s="980"/>
      <c r="AF92" s="980"/>
      <c r="AG92" s="980"/>
      <c r="AH92" s="980"/>
      <c r="AI92" s="980"/>
      <c r="AJ92" s="980"/>
      <c r="AK92" s="980"/>
      <c r="AL92" s="980"/>
      <c r="AM92" s="980"/>
      <c r="AN92" s="984"/>
      <c r="AT92" s="884"/>
      <c r="AU92" s="884"/>
      <c r="AV92" s="884"/>
      <c r="AW92" s="884"/>
      <c r="AX92" s="884"/>
      <c r="AY92" s="884"/>
      <c r="AZ92" s="884"/>
      <c r="BA92" s="884"/>
      <c r="BB92" s="884"/>
      <c r="BC92" s="884"/>
      <c r="BD92" s="884"/>
      <c r="BE92" s="884"/>
      <c r="BF92" s="884"/>
      <c r="BG92" s="884"/>
      <c r="BH92" s="884"/>
      <c r="BI92" s="884"/>
      <c r="BJ92" s="884"/>
      <c r="BK92" s="884"/>
      <c r="BL92" s="884"/>
      <c r="BM92" s="884"/>
      <c r="BN92" s="884"/>
      <c r="BO92" s="884"/>
      <c r="BP92" s="884"/>
      <c r="BQ92" s="884"/>
      <c r="BR92" s="884"/>
      <c r="BS92" s="884"/>
      <c r="BT92" s="884"/>
      <c r="BU92" s="884"/>
      <c r="BV92" s="884"/>
      <c r="BW92" s="884"/>
      <c r="BX92" s="884"/>
      <c r="BY92" s="884"/>
      <c r="BZ92" s="884"/>
      <c r="CA92" s="884"/>
      <c r="CB92" s="884"/>
      <c r="CC92" s="884"/>
      <c r="CD92" s="884"/>
      <c r="CE92" s="884"/>
      <c r="CF92" s="884"/>
      <c r="CG92" s="884"/>
      <c r="CH92" s="884"/>
      <c r="CI92" s="884"/>
      <c r="CJ92" s="884"/>
      <c r="CK92" s="884"/>
      <c r="CL92" s="884"/>
      <c r="CM92" s="884"/>
      <c r="CN92" s="884"/>
      <c r="CO92" s="884"/>
      <c r="CP92" s="884"/>
      <c r="CQ92" s="884"/>
      <c r="CR92" s="884"/>
      <c r="CS92" s="884"/>
      <c r="CT92" s="884"/>
      <c r="CU92" s="884"/>
      <c r="CV92" s="884"/>
      <c r="CW92" s="884"/>
      <c r="CX92" s="884"/>
      <c r="CY92" s="884"/>
      <c r="CZ92" s="884"/>
      <c r="DA92" s="884"/>
      <c r="DB92" s="884"/>
      <c r="DC92" s="884"/>
      <c r="DD92" s="884"/>
      <c r="DE92" s="884"/>
      <c r="DF92" s="884"/>
      <c r="DG92" s="884"/>
      <c r="DH92" s="884"/>
      <c r="DI92" s="884"/>
      <c r="DJ92" s="884"/>
      <c r="DK92" s="884"/>
      <c r="DL92" s="884"/>
      <c r="DM92" s="884"/>
      <c r="DN92" s="884"/>
      <c r="DO92" s="884"/>
      <c r="DP92" s="884"/>
      <c r="DQ92" s="884"/>
      <c r="DR92" s="884"/>
      <c r="DS92" s="884"/>
      <c r="DT92" s="884"/>
      <c r="DU92" s="884"/>
      <c r="DV92" s="884"/>
      <c r="DW92" s="884"/>
      <c r="DX92" s="884"/>
      <c r="DY92" s="884"/>
      <c r="DZ92" s="884"/>
      <c r="EA92" s="884"/>
      <c r="EB92" s="884"/>
      <c r="EC92" s="884"/>
      <c r="ED92" s="884"/>
      <c r="EE92" s="884"/>
      <c r="EF92" s="884"/>
      <c r="EG92" s="884"/>
      <c r="EH92" s="884"/>
      <c r="EI92" s="884"/>
      <c r="EJ92" s="884"/>
      <c r="EK92" s="884"/>
      <c r="EL92" s="884"/>
      <c r="EM92" s="884"/>
      <c r="EN92" s="884"/>
      <c r="EO92" s="884"/>
      <c r="EP92" s="884"/>
      <c r="EQ92" s="884"/>
      <c r="ER92" s="884"/>
      <c r="ES92" s="884"/>
      <c r="ET92" s="884"/>
      <c r="EU92" s="884"/>
      <c r="EV92" s="884"/>
      <c r="EW92" s="884"/>
      <c r="EX92" s="884"/>
      <c r="EY92" s="884"/>
      <c r="EZ92" s="884"/>
      <c r="FA92" s="884"/>
      <c r="FB92" s="884"/>
      <c r="FC92" s="884"/>
      <c r="FD92" s="884"/>
      <c r="FE92" s="884"/>
      <c r="FF92" s="884"/>
      <c r="FG92" s="884"/>
      <c r="FH92" s="884"/>
      <c r="FI92" s="884"/>
      <c r="FJ92" s="884"/>
      <c r="FK92" s="884"/>
      <c r="FL92" s="884"/>
      <c r="FM92" s="884"/>
      <c r="FN92" s="884"/>
      <c r="FO92" s="884"/>
      <c r="FP92" s="884"/>
      <c r="FQ92" s="884"/>
      <c r="FR92" s="884"/>
      <c r="FS92" s="884"/>
      <c r="FT92" s="884"/>
      <c r="FU92" s="884"/>
      <c r="FV92" s="884"/>
      <c r="FW92" s="884"/>
      <c r="FX92" s="884"/>
      <c r="FY92" s="884"/>
      <c r="FZ92" s="884"/>
      <c r="GA92" s="884"/>
      <c r="GB92" s="884"/>
      <c r="GC92" s="884"/>
      <c r="GD92" s="884"/>
      <c r="GE92" s="884"/>
      <c r="GF92" s="884"/>
      <c r="GG92" s="884"/>
      <c r="GH92" s="884"/>
      <c r="GI92" s="884"/>
      <c r="GJ92" s="884"/>
      <c r="GK92" s="884"/>
      <c r="GL92" s="884"/>
      <c r="GM92" s="884"/>
      <c r="GN92" s="884"/>
      <c r="GO92" s="884"/>
      <c r="GP92" s="884"/>
      <c r="GQ92" s="884"/>
      <c r="GR92" s="884"/>
      <c r="GS92" s="884"/>
      <c r="GT92" s="884"/>
      <c r="GU92" s="884"/>
      <c r="GV92" s="884"/>
      <c r="GW92" s="884"/>
      <c r="GX92" s="884"/>
      <c r="GY92" s="884"/>
      <c r="GZ92" s="884"/>
      <c r="HA92" s="884"/>
      <c r="HB92" s="884"/>
      <c r="HC92" s="884"/>
      <c r="HD92" s="884"/>
      <c r="HE92" s="884"/>
      <c r="HF92" s="884"/>
      <c r="HG92" s="884"/>
      <c r="HH92" s="884"/>
      <c r="HI92" s="884"/>
      <c r="HJ92" s="884"/>
      <c r="HK92" s="884"/>
      <c r="HL92" s="884"/>
      <c r="HM92" s="884"/>
      <c r="HN92" s="884"/>
      <c r="HO92" s="884"/>
      <c r="HP92" s="884"/>
      <c r="HQ92" s="884"/>
      <c r="HR92" s="884"/>
      <c r="HS92" s="884"/>
      <c r="HT92" s="884"/>
      <c r="HU92" s="884"/>
      <c r="HV92" s="884"/>
      <c r="HW92" s="884"/>
      <c r="HX92" s="884"/>
      <c r="HY92" s="884"/>
      <c r="HZ92" s="884"/>
      <c r="IA92" s="884"/>
      <c r="IB92" s="884"/>
      <c r="IC92" s="884"/>
      <c r="ID92" s="884"/>
      <c r="IE92" s="884"/>
      <c r="IF92" s="884"/>
      <c r="IG92" s="884"/>
      <c r="IH92" s="884"/>
      <c r="II92" s="884"/>
      <c r="IJ92" s="884"/>
      <c r="IK92" s="884"/>
      <c r="IL92" s="884"/>
      <c r="IM92" s="884"/>
      <c r="IN92" s="884"/>
      <c r="IO92" s="884"/>
      <c r="IP92" s="884"/>
      <c r="IQ92" s="884"/>
      <c r="IR92" s="884"/>
      <c r="IS92" s="884"/>
      <c r="IT92" s="884"/>
      <c r="IU92" s="884"/>
      <c r="IV92" s="884"/>
      <c r="IW92" s="884"/>
      <c r="IX92" s="884"/>
      <c r="IY92" s="884"/>
      <c r="IZ92" s="884"/>
      <c r="JA92" s="884"/>
      <c r="JB92" s="884"/>
      <c r="JC92" s="884"/>
      <c r="JD92" s="884"/>
      <c r="JE92" s="884"/>
      <c r="JF92" s="884"/>
      <c r="JG92" s="884"/>
      <c r="JH92" s="884"/>
      <c r="JI92" s="884"/>
      <c r="JJ92" s="884"/>
      <c r="JK92" s="884"/>
      <c r="JL92" s="884"/>
      <c r="JM92" s="884"/>
      <c r="JN92" s="884"/>
      <c r="JO92" s="884"/>
      <c r="JP92" s="884"/>
      <c r="JQ92" s="884"/>
      <c r="JR92" s="884"/>
      <c r="JS92" s="884"/>
      <c r="JT92" s="884"/>
      <c r="JU92" s="884"/>
      <c r="JV92" s="884"/>
      <c r="JW92" s="884"/>
    </row>
    <row r="93" spans="1:283" s="883" customFormat="1" x14ac:dyDescent="0.2">
      <c r="A93" s="4108"/>
      <c r="B93" s="971"/>
      <c r="C93" s="985"/>
      <c r="D93" s="985"/>
      <c r="E93" s="986">
        <v>62</v>
      </c>
      <c r="F93" s="987" t="s">
        <v>860</v>
      </c>
      <c r="G93" s="988"/>
      <c r="H93" s="989"/>
      <c r="I93" s="989"/>
      <c r="J93" s="989"/>
      <c r="K93" s="989"/>
      <c r="L93" s="989"/>
      <c r="M93" s="989"/>
      <c r="N93" s="990"/>
      <c r="O93" s="991"/>
      <c r="P93" s="989"/>
      <c r="Q93" s="989"/>
      <c r="R93" s="989"/>
      <c r="S93" s="989"/>
      <c r="T93" s="4564"/>
      <c r="U93" s="4565"/>
      <c r="V93" s="989"/>
      <c r="W93" s="989"/>
      <c r="X93" s="989"/>
      <c r="Y93" s="989"/>
      <c r="Z93" s="989"/>
      <c r="AA93" s="989"/>
      <c r="AB93" s="989"/>
      <c r="AC93" s="989"/>
      <c r="AD93" s="989"/>
      <c r="AE93" s="989"/>
      <c r="AF93" s="989"/>
      <c r="AG93" s="989"/>
      <c r="AH93" s="989"/>
      <c r="AI93" s="989"/>
      <c r="AJ93" s="989"/>
      <c r="AK93" s="989"/>
      <c r="AL93" s="989"/>
      <c r="AM93" s="989"/>
      <c r="AN93" s="988"/>
      <c r="AT93" s="884"/>
      <c r="AU93" s="884"/>
      <c r="AV93" s="884"/>
      <c r="AW93" s="884"/>
      <c r="AX93" s="884"/>
      <c r="AY93" s="884"/>
      <c r="AZ93" s="884"/>
      <c r="BA93" s="884"/>
      <c r="BB93" s="884"/>
      <c r="BC93" s="884"/>
      <c r="BD93" s="884"/>
      <c r="BE93" s="884"/>
      <c r="BF93" s="884"/>
      <c r="BG93" s="884"/>
      <c r="BH93" s="884"/>
      <c r="BI93" s="884"/>
      <c r="BJ93" s="884"/>
      <c r="BK93" s="884"/>
      <c r="BL93" s="884"/>
      <c r="BM93" s="884"/>
      <c r="BN93" s="884"/>
      <c r="BO93" s="884"/>
      <c r="BP93" s="884"/>
      <c r="BQ93" s="884"/>
      <c r="BR93" s="884"/>
      <c r="BS93" s="884"/>
      <c r="BT93" s="884"/>
      <c r="BU93" s="884"/>
      <c r="BV93" s="884"/>
      <c r="BW93" s="884"/>
      <c r="BX93" s="884"/>
      <c r="BY93" s="884"/>
      <c r="BZ93" s="884"/>
      <c r="CA93" s="884"/>
      <c r="CB93" s="884"/>
      <c r="CC93" s="884"/>
      <c r="CD93" s="884"/>
      <c r="CE93" s="884"/>
      <c r="CF93" s="884"/>
      <c r="CG93" s="884"/>
      <c r="CH93" s="884"/>
      <c r="CI93" s="884"/>
      <c r="CJ93" s="884"/>
      <c r="CK93" s="884"/>
      <c r="CL93" s="884"/>
      <c r="CM93" s="884"/>
      <c r="CN93" s="884"/>
      <c r="CO93" s="884"/>
      <c r="CP93" s="884"/>
      <c r="CQ93" s="884"/>
      <c r="CR93" s="884"/>
      <c r="CS93" s="884"/>
      <c r="CT93" s="884"/>
      <c r="CU93" s="884"/>
      <c r="CV93" s="884"/>
      <c r="CW93" s="884"/>
      <c r="CX93" s="884"/>
      <c r="CY93" s="884"/>
      <c r="CZ93" s="884"/>
      <c r="DA93" s="884"/>
      <c r="DB93" s="884"/>
      <c r="DC93" s="884"/>
      <c r="DD93" s="884"/>
      <c r="DE93" s="884"/>
      <c r="DF93" s="884"/>
      <c r="DG93" s="884"/>
      <c r="DH93" s="884"/>
      <c r="DI93" s="884"/>
      <c r="DJ93" s="884"/>
      <c r="DK93" s="884"/>
      <c r="DL93" s="884"/>
      <c r="DM93" s="884"/>
      <c r="DN93" s="884"/>
      <c r="DO93" s="884"/>
      <c r="DP93" s="884"/>
      <c r="DQ93" s="884"/>
      <c r="DR93" s="884"/>
      <c r="DS93" s="884"/>
      <c r="DT93" s="884"/>
      <c r="DU93" s="884"/>
      <c r="DV93" s="884"/>
      <c r="DW93" s="884"/>
      <c r="DX93" s="884"/>
      <c r="DY93" s="884"/>
      <c r="DZ93" s="884"/>
      <c r="EA93" s="884"/>
      <c r="EB93" s="884"/>
      <c r="EC93" s="884"/>
      <c r="ED93" s="884"/>
      <c r="EE93" s="884"/>
      <c r="EF93" s="884"/>
      <c r="EG93" s="884"/>
      <c r="EH93" s="884"/>
      <c r="EI93" s="884"/>
      <c r="EJ93" s="884"/>
      <c r="EK93" s="884"/>
      <c r="EL93" s="884"/>
      <c r="EM93" s="884"/>
      <c r="EN93" s="884"/>
      <c r="EO93" s="884"/>
      <c r="EP93" s="884"/>
      <c r="EQ93" s="884"/>
      <c r="ER93" s="884"/>
      <c r="ES93" s="884"/>
      <c r="ET93" s="884"/>
      <c r="EU93" s="884"/>
      <c r="EV93" s="884"/>
      <c r="EW93" s="884"/>
      <c r="EX93" s="884"/>
      <c r="EY93" s="884"/>
      <c r="EZ93" s="884"/>
      <c r="FA93" s="884"/>
      <c r="FB93" s="884"/>
      <c r="FC93" s="884"/>
      <c r="FD93" s="884"/>
      <c r="FE93" s="884"/>
      <c r="FF93" s="884"/>
      <c r="FG93" s="884"/>
      <c r="FH93" s="884"/>
      <c r="FI93" s="884"/>
      <c r="FJ93" s="884"/>
      <c r="FK93" s="884"/>
      <c r="FL93" s="884"/>
      <c r="FM93" s="884"/>
      <c r="FN93" s="884"/>
      <c r="FO93" s="884"/>
      <c r="FP93" s="884"/>
      <c r="FQ93" s="884"/>
      <c r="FR93" s="884"/>
      <c r="FS93" s="884"/>
      <c r="FT93" s="884"/>
      <c r="FU93" s="884"/>
      <c r="FV93" s="884"/>
      <c r="FW93" s="884"/>
      <c r="FX93" s="884"/>
      <c r="FY93" s="884"/>
      <c r="FZ93" s="884"/>
      <c r="GA93" s="884"/>
      <c r="GB93" s="884"/>
      <c r="GC93" s="884"/>
      <c r="GD93" s="884"/>
      <c r="GE93" s="884"/>
      <c r="GF93" s="884"/>
      <c r="GG93" s="884"/>
      <c r="GH93" s="884"/>
      <c r="GI93" s="884"/>
      <c r="GJ93" s="884"/>
      <c r="GK93" s="884"/>
      <c r="GL93" s="884"/>
      <c r="GM93" s="884"/>
      <c r="GN93" s="884"/>
      <c r="GO93" s="884"/>
      <c r="GP93" s="884"/>
      <c r="GQ93" s="884"/>
      <c r="GR93" s="884"/>
      <c r="GS93" s="884"/>
      <c r="GT93" s="884"/>
      <c r="GU93" s="884"/>
      <c r="GV93" s="884"/>
      <c r="GW93" s="884"/>
      <c r="GX93" s="884"/>
      <c r="GY93" s="884"/>
      <c r="GZ93" s="884"/>
      <c r="HA93" s="884"/>
      <c r="HB93" s="884"/>
      <c r="HC93" s="884"/>
      <c r="HD93" s="884"/>
      <c r="HE93" s="884"/>
      <c r="HF93" s="884"/>
      <c r="HG93" s="884"/>
      <c r="HH93" s="884"/>
      <c r="HI93" s="884"/>
      <c r="HJ93" s="884"/>
      <c r="HK93" s="884"/>
      <c r="HL93" s="884"/>
      <c r="HM93" s="884"/>
      <c r="HN93" s="884"/>
      <c r="HO93" s="884"/>
      <c r="HP93" s="884"/>
      <c r="HQ93" s="884"/>
      <c r="HR93" s="884"/>
      <c r="HS93" s="884"/>
      <c r="HT93" s="884"/>
      <c r="HU93" s="884"/>
      <c r="HV93" s="884"/>
      <c r="HW93" s="884"/>
      <c r="HX93" s="884"/>
      <c r="HY93" s="884"/>
      <c r="HZ93" s="884"/>
      <c r="IA93" s="884"/>
      <c r="IB93" s="884"/>
      <c r="IC93" s="884"/>
      <c r="ID93" s="884"/>
      <c r="IE93" s="884"/>
      <c r="IF93" s="884"/>
      <c r="IG93" s="884"/>
      <c r="IH93" s="884"/>
      <c r="II93" s="884"/>
      <c r="IJ93" s="884"/>
      <c r="IK93" s="884"/>
      <c r="IL93" s="884"/>
      <c r="IM93" s="884"/>
      <c r="IN93" s="884"/>
      <c r="IO93" s="884"/>
      <c r="IP93" s="884"/>
      <c r="IQ93" s="884"/>
      <c r="IR93" s="884"/>
      <c r="IS93" s="884"/>
      <c r="IT93" s="884"/>
      <c r="IU93" s="884"/>
      <c r="IV93" s="884"/>
      <c r="IW93" s="884"/>
      <c r="IX93" s="884"/>
      <c r="IY93" s="884"/>
      <c r="IZ93" s="884"/>
      <c r="JA93" s="884"/>
      <c r="JB93" s="884"/>
      <c r="JC93" s="884"/>
      <c r="JD93" s="884"/>
      <c r="JE93" s="884"/>
      <c r="JF93" s="884"/>
      <c r="JG93" s="884"/>
      <c r="JH93" s="884"/>
      <c r="JI93" s="884"/>
      <c r="JJ93" s="884"/>
      <c r="JK93" s="884"/>
      <c r="JL93" s="884"/>
      <c r="JM93" s="884"/>
      <c r="JN93" s="884"/>
      <c r="JO93" s="884"/>
      <c r="JP93" s="884"/>
      <c r="JQ93" s="884"/>
      <c r="JR93" s="884"/>
      <c r="JS93" s="884"/>
      <c r="JT93" s="884"/>
      <c r="JU93" s="884"/>
      <c r="JV93" s="884"/>
      <c r="JW93" s="884"/>
    </row>
    <row r="94" spans="1:283" s="883" customFormat="1" ht="75" customHeight="1" x14ac:dyDescent="0.2">
      <c r="A94" s="4108"/>
      <c r="B94" s="971"/>
      <c r="C94" s="985"/>
      <c r="D94" s="985"/>
      <c r="E94" s="4109"/>
      <c r="F94" s="4110"/>
      <c r="G94" s="4111">
        <v>192</v>
      </c>
      <c r="H94" s="4113" t="s">
        <v>887</v>
      </c>
      <c r="I94" s="4113" t="s">
        <v>888</v>
      </c>
      <c r="J94" s="4111">
        <v>1</v>
      </c>
      <c r="K94" s="4111" t="s">
        <v>889</v>
      </c>
      <c r="L94" s="4111" t="s">
        <v>890</v>
      </c>
      <c r="M94" s="4113" t="s">
        <v>891</v>
      </c>
      <c r="N94" s="4116">
        <v>1</v>
      </c>
      <c r="O94" s="4118">
        <v>79500000</v>
      </c>
      <c r="P94" s="4120" t="s">
        <v>892</v>
      </c>
      <c r="Q94" s="4122" t="s">
        <v>893</v>
      </c>
      <c r="R94" s="992" t="s">
        <v>894</v>
      </c>
      <c r="S94" s="912">
        <v>44500000</v>
      </c>
      <c r="T94" s="2490" t="s">
        <v>61</v>
      </c>
      <c r="U94" s="2485" t="s">
        <v>357</v>
      </c>
      <c r="V94" s="4111">
        <v>701</v>
      </c>
      <c r="W94" s="4111">
        <v>877</v>
      </c>
      <c r="X94" s="4111">
        <v>56</v>
      </c>
      <c r="Y94" s="4111">
        <v>150</v>
      </c>
      <c r="Z94" s="4111">
        <v>1250</v>
      </c>
      <c r="AA94" s="4111">
        <v>122</v>
      </c>
      <c r="AB94" s="4111" t="s">
        <v>895</v>
      </c>
      <c r="AC94" s="4111" t="s">
        <v>895</v>
      </c>
      <c r="AD94" s="4111" t="s">
        <v>895</v>
      </c>
      <c r="AE94" s="4111" t="s">
        <v>895</v>
      </c>
      <c r="AF94" s="4111" t="s">
        <v>895</v>
      </c>
      <c r="AG94" s="4111" t="s">
        <v>895</v>
      </c>
      <c r="AH94" s="4111" t="s">
        <v>895</v>
      </c>
      <c r="AI94" s="4111" t="s">
        <v>895</v>
      </c>
      <c r="AJ94" s="4111" t="s">
        <v>895</v>
      </c>
      <c r="AK94" s="4111">
        <f>+V94+W94</f>
        <v>1578</v>
      </c>
      <c r="AL94" s="4124">
        <v>43466</v>
      </c>
      <c r="AM94" s="4124">
        <v>43617</v>
      </c>
      <c r="AN94" s="4111" t="s">
        <v>751</v>
      </c>
      <c r="AT94" s="884"/>
      <c r="AU94" s="884"/>
      <c r="AV94" s="884"/>
      <c r="AW94" s="884"/>
      <c r="AX94" s="884"/>
      <c r="AY94" s="884"/>
      <c r="AZ94" s="884"/>
      <c r="BA94" s="884"/>
      <c r="BB94" s="884"/>
      <c r="BC94" s="884"/>
      <c r="BD94" s="884"/>
      <c r="BE94" s="884"/>
      <c r="BF94" s="884"/>
      <c r="BG94" s="884"/>
      <c r="BH94" s="884"/>
      <c r="BI94" s="884"/>
      <c r="BJ94" s="884"/>
      <c r="BK94" s="884"/>
      <c r="BL94" s="884"/>
      <c r="BM94" s="884"/>
      <c r="BN94" s="884"/>
      <c r="BO94" s="884"/>
      <c r="BP94" s="884"/>
      <c r="BQ94" s="884"/>
      <c r="BR94" s="884"/>
      <c r="BS94" s="884"/>
      <c r="BT94" s="884"/>
      <c r="BU94" s="884"/>
      <c r="BV94" s="884"/>
      <c r="BW94" s="884"/>
      <c r="BX94" s="884"/>
      <c r="BY94" s="884"/>
      <c r="BZ94" s="884"/>
      <c r="CA94" s="884"/>
      <c r="CB94" s="884"/>
      <c r="CC94" s="884"/>
      <c r="CD94" s="884"/>
      <c r="CE94" s="884"/>
      <c r="CF94" s="884"/>
      <c r="CG94" s="884"/>
      <c r="CH94" s="884"/>
      <c r="CI94" s="884"/>
      <c r="CJ94" s="884"/>
      <c r="CK94" s="884"/>
      <c r="CL94" s="884"/>
      <c r="CM94" s="884"/>
      <c r="CN94" s="884"/>
      <c r="CO94" s="884"/>
      <c r="CP94" s="884"/>
      <c r="CQ94" s="884"/>
      <c r="CR94" s="884"/>
      <c r="CS94" s="884"/>
      <c r="CT94" s="884"/>
      <c r="CU94" s="884"/>
      <c r="CV94" s="884"/>
      <c r="CW94" s="884"/>
      <c r="CX94" s="884"/>
      <c r="CY94" s="884"/>
      <c r="CZ94" s="884"/>
      <c r="DA94" s="884"/>
      <c r="DB94" s="884"/>
      <c r="DC94" s="884"/>
      <c r="DD94" s="884"/>
      <c r="DE94" s="884"/>
      <c r="DF94" s="884"/>
      <c r="DG94" s="884"/>
      <c r="DH94" s="884"/>
      <c r="DI94" s="884"/>
      <c r="DJ94" s="884"/>
      <c r="DK94" s="884"/>
      <c r="DL94" s="884"/>
      <c r="DM94" s="884"/>
      <c r="DN94" s="884"/>
      <c r="DO94" s="884"/>
      <c r="DP94" s="884"/>
      <c r="DQ94" s="884"/>
      <c r="DR94" s="884"/>
      <c r="DS94" s="884"/>
      <c r="DT94" s="884"/>
      <c r="DU94" s="884"/>
      <c r="DV94" s="884"/>
      <c r="DW94" s="884"/>
      <c r="DX94" s="884"/>
      <c r="DY94" s="884"/>
      <c r="DZ94" s="884"/>
      <c r="EA94" s="884"/>
      <c r="EB94" s="884"/>
      <c r="EC94" s="884"/>
      <c r="ED94" s="884"/>
      <c r="EE94" s="884"/>
      <c r="EF94" s="884"/>
      <c r="EG94" s="884"/>
      <c r="EH94" s="884"/>
      <c r="EI94" s="884"/>
      <c r="EJ94" s="884"/>
      <c r="EK94" s="884"/>
      <c r="EL94" s="884"/>
      <c r="EM94" s="884"/>
      <c r="EN94" s="884"/>
      <c r="EO94" s="884"/>
      <c r="EP94" s="884"/>
      <c r="EQ94" s="884"/>
      <c r="ER94" s="884"/>
      <c r="ES94" s="884"/>
      <c r="ET94" s="884"/>
      <c r="EU94" s="884"/>
      <c r="EV94" s="884"/>
      <c r="EW94" s="884"/>
      <c r="EX94" s="884"/>
      <c r="EY94" s="884"/>
      <c r="EZ94" s="884"/>
      <c r="FA94" s="884"/>
      <c r="FB94" s="884"/>
      <c r="FC94" s="884"/>
      <c r="FD94" s="884"/>
      <c r="FE94" s="884"/>
      <c r="FF94" s="884"/>
      <c r="FG94" s="884"/>
      <c r="FH94" s="884"/>
      <c r="FI94" s="884"/>
      <c r="FJ94" s="884"/>
      <c r="FK94" s="884"/>
      <c r="FL94" s="884"/>
      <c r="FM94" s="884"/>
      <c r="FN94" s="884"/>
      <c r="FO94" s="884"/>
      <c r="FP94" s="884"/>
      <c r="FQ94" s="884"/>
      <c r="FR94" s="884"/>
      <c r="FS94" s="884"/>
      <c r="FT94" s="884"/>
      <c r="FU94" s="884"/>
      <c r="FV94" s="884"/>
      <c r="FW94" s="884"/>
      <c r="FX94" s="884"/>
      <c r="FY94" s="884"/>
      <c r="FZ94" s="884"/>
      <c r="GA94" s="884"/>
      <c r="GB94" s="884"/>
      <c r="GC94" s="884"/>
      <c r="GD94" s="884"/>
      <c r="GE94" s="884"/>
      <c r="GF94" s="884"/>
      <c r="GG94" s="884"/>
      <c r="GH94" s="884"/>
      <c r="GI94" s="884"/>
      <c r="GJ94" s="884"/>
      <c r="GK94" s="884"/>
      <c r="GL94" s="884"/>
      <c r="GM94" s="884"/>
      <c r="GN94" s="884"/>
      <c r="GO94" s="884"/>
      <c r="GP94" s="884"/>
      <c r="GQ94" s="884"/>
      <c r="GR94" s="884"/>
      <c r="GS94" s="884"/>
      <c r="GT94" s="884"/>
      <c r="GU94" s="884"/>
      <c r="GV94" s="884"/>
      <c r="GW94" s="884"/>
      <c r="GX94" s="884"/>
      <c r="GY94" s="884"/>
      <c r="GZ94" s="884"/>
      <c r="HA94" s="884"/>
      <c r="HB94" s="884"/>
      <c r="HC94" s="884"/>
      <c r="HD94" s="884"/>
      <c r="HE94" s="884"/>
      <c r="HF94" s="884"/>
      <c r="HG94" s="884"/>
      <c r="HH94" s="884"/>
      <c r="HI94" s="884"/>
      <c r="HJ94" s="884"/>
      <c r="HK94" s="884"/>
      <c r="HL94" s="884"/>
      <c r="HM94" s="884"/>
      <c r="HN94" s="884"/>
      <c r="HO94" s="884"/>
      <c r="HP94" s="884"/>
      <c r="HQ94" s="884"/>
      <c r="HR94" s="884"/>
      <c r="HS94" s="884"/>
      <c r="HT94" s="884"/>
      <c r="HU94" s="884"/>
      <c r="HV94" s="884"/>
      <c r="HW94" s="884"/>
      <c r="HX94" s="884"/>
      <c r="HY94" s="884"/>
      <c r="HZ94" s="884"/>
      <c r="IA94" s="884"/>
      <c r="IB94" s="884"/>
      <c r="IC94" s="884"/>
      <c r="ID94" s="884"/>
      <c r="IE94" s="884"/>
      <c r="IF94" s="884"/>
      <c r="IG94" s="884"/>
      <c r="IH94" s="884"/>
      <c r="II94" s="884"/>
      <c r="IJ94" s="884"/>
      <c r="IK94" s="884"/>
      <c r="IL94" s="884"/>
      <c r="IM94" s="884"/>
      <c r="IN94" s="884"/>
      <c r="IO94" s="884"/>
      <c r="IP94" s="884"/>
      <c r="IQ94" s="884"/>
      <c r="IR94" s="884"/>
      <c r="IS94" s="884"/>
      <c r="IT94" s="884"/>
      <c r="IU94" s="884"/>
      <c r="IV94" s="884"/>
      <c r="IW94" s="884"/>
      <c r="IX94" s="884"/>
      <c r="IY94" s="884"/>
      <c r="IZ94" s="884"/>
      <c r="JA94" s="884"/>
      <c r="JB94" s="884"/>
      <c r="JC94" s="884"/>
      <c r="JD94" s="884"/>
      <c r="JE94" s="884"/>
      <c r="JF94" s="884"/>
      <c r="JG94" s="884"/>
      <c r="JH94" s="884"/>
      <c r="JI94" s="884"/>
      <c r="JJ94" s="884"/>
      <c r="JK94" s="884"/>
      <c r="JL94" s="884"/>
      <c r="JM94" s="884"/>
      <c r="JN94" s="884"/>
      <c r="JO94" s="884"/>
      <c r="JP94" s="884"/>
      <c r="JQ94" s="884"/>
      <c r="JR94" s="884"/>
      <c r="JS94" s="884"/>
      <c r="JT94" s="884"/>
      <c r="JU94" s="884"/>
      <c r="JV94" s="884"/>
      <c r="JW94" s="884"/>
    </row>
    <row r="95" spans="1:283" s="883" customFormat="1" ht="65.25" customHeight="1" x14ac:dyDescent="0.2">
      <c r="A95" s="4108"/>
      <c r="B95" s="971"/>
      <c r="C95" s="985"/>
      <c r="D95" s="985"/>
      <c r="E95" s="4109"/>
      <c r="F95" s="4110"/>
      <c r="G95" s="4112"/>
      <c r="H95" s="4114"/>
      <c r="I95" s="4114"/>
      <c r="J95" s="4112"/>
      <c r="K95" s="4112"/>
      <c r="L95" s="4112"/>
      <c r="M95" s="4114"/>
      <c r="N95" s="4117"/>
      <c r="O95" s="4119"/>
      <c r="P95" s="4121"/>
      <c r="Q95" s="4123"/>
      <c r="R95" s="993" t="s">
        <v>896</v>
      </c>
      <c r="S95" s="912">
        <v>35000000</v>
      </c>
      <c r="T95" s="2490" t="s">
        <v>61</v>
      </c>
      <c r="U95" s="2485" t="s">
        <v>357</v>
      </c>
      <c r="V95" s="4112"/>
      <c r="W95" s="4112"/>
      <c r="X95" s="4112"/>
      <c r="Y95" s="4112"/>
      <c r="Z95" s="4112"/>
      <c r="AA95" s="4112"/>
      <c r="AB95" s="4112"/>
      <c r="AC95" s="4112"/>
      <c r="AD95" s="4112"/>
      <c r="AE95" s="4112"/>
      <c r="AF95" s="4112"/>
      <c r="AG95" s="4112"/>
      <c r="AH95" s="4112"/>
      <c r="AI95" s="4112"/>
      <c r="AJ95" s="4112"/>
      <c r="AK95" s="4112"/>
      <c r="AL95" s="4112"/>
      <c r="AM95" s="4112"/>
      <c r="AN95" s="4112"/>
      <c r="AT95" s="884"/>
      <c r="AU95" s="884"/>
      <c r="AV95" s="884"/>
      <c r="AW95" s="884"/>
      <c r="AX95" s="884"/>
      <c r="AY95" s="884"/>
      <c r="AZ95" s="884"/>
      <c r="BA95" s="884"/>
      <c r="BB95" s="884"/>
      <c r="BC95" s="884"/>
      <c r="BD95" s="884"/>
      <c r="BE95" s="884"/>
      <c r="BF95" s="884"/>
      <c r="BG95" s="884"/>
      <c r="BH95" s="884"/>
      <c r="BI95" s="884"/>
      <c r="BJ95" s="884"/>
      <c r="BK95" s="884"/>
      <c r="BL95" s="884"/>
      <c r="BM95" s="884"/>
      <c r="BN95" s="884"/>
      <c r="BO95" s="884"/>
      <c r="BP95" s="884"/>
      <c r="BQ95" s="884"/>
      <c r="BR95" s="884"/>
      <c r="BS95" s="884"/>
      <c r="BT95" s="884"/>
      <c r="BU95" s="884"/>
      <c r="BV95" s="884"/>
      <c r="BW95" s="884"/>
      <c r="BX95" s="884"/>
      <c r="BY95" s="884"/>
      <c r="BZ95" s="884"/>
      <c r="CA95" s="884"/>
      <c r="CB95" s="884"/>
      <c r="CC95" s="884"/>
      <c r="CD95" s="884"/>
      <c r="CE95" s="884"/>
      <c r="CF95" s="884"/>
      <c r="CG95" s="884"/>
      <c r="CH95" s="884"/>
      <c r="CI95" s="884"/>
      <c r="CJ95" s="884"/>
      <c r="CK95" s="884"/>
      <c r="CL95" s="884"/>
      <c r="CM95" s="884"/>
      <c r="CN95" s="884"/>
      <c r="CO95" s="884"/>
      <c r="CP95" s="884"/>
      <c r="CQ95" s="884"/>
      <c r="CR95" s="884"/>
      <c r="CS95" s="884"/>
      <c r="CT95" s="884"/>
      <c r="CU95" s="884"/>
      <c r="CV95" s="884"/>
      <c r="CW95" s="884"/>
      <c r="CX95" s="884"/>
      <c r="CY95" s="884"/>
      <c r="CZ95" s="884"/>
      <c r="DA95" s="884"/>
      <c r="DB95" s="884"/>
      <c r="DC95" s="884"/>
      <c r="DD95" s="884"/>
      <c r="DE95" s="884"/>
      <c r="DF95" s="884"/>
      <c r="DG95" s="884"/>
      <c r="DH95" s="884"/>
      <c r="DI95" s="884"/>
      <c r="DJ95" s="884"/>
      <c r="DK95" s="884"/>
      <c r="DL95" s="884"/>
      <c r="DM95" s="884"/>
      <c r="DN95" s="884"/>
      <c r="DO95" s="884"/>
      <c r="DP95" s="884"/>
      <c r="DQ95" s="884"/>
      <c r="DR95" s="884"/>
      <c r="DS95" s="884"/>
      <c r="DT95" s="884"/>
      <c r="DU95" s="884"/>
      <c r="DV95" s="884"/>
      <c r="DW95" s="884"/>
      <c r="DX95" s="884"/>
      <c r="DY95" s="884"/>
      <c r="DZ95" s="884"/>
      <c r="EA95" s="884"/>
      <c r="EB95" s="884"/>
      <c r="EC95" s="884"/>
      <c r="ED95" s="884"/>
      <c r="EE95" s="884"/>
      <c r="EF95" s="884"/>
      <c r="EG95" s="884"/>
      <c r="EH95" s="884"/>
      <c r="EI95" s="884"/>
      <c r="EJ95" s="884"/>
      <c r="EK95" s="884"/>
      <c r="EL95" s="884"/>
      <c r="EM95" s="884"/>
      <c r="EN95" s="884"/>
      <c r="EO95" s="884"/>
      <c r="EP95" s="884"/>
      <c r="EQ95" s="884"/>
      <c r="ER95" s="884"/>
      <c r="ES95" s="884"/>
      <c r="ET95" s="884"/>
      <c r="EU95" s="884"/>
      <c r="EV95" s="884"/>
      <c r="EW95" s="884"/>
      <c r="EX95" s="884"/>
      <c r="EY95" s="884"/>
      <c r="EZ95" s="884"/>
      <c r="FA95" s="884"/>
      <c r="FB95" s="884"/>
      <c r="FC95" s="884"/>
      <c r="FD95" s="884"/>
      <c r="FE95" s="884"/>
      <c r="FF95" s="884"/>
      <c r="FG95" s="884"/>
      <c r="FH95" s="884"/>
      <c r="FI95" s="884"/>
      <c r="FJ95" s="884"/>
      <c r="FK95" s="884"/>
      <c r="FL95" s="884"/>
      <c r="FM95" s="884"/>
      <c r="FN95" s="884"/>
      <c r="FO95" s="884"/>
      <c r="FP95" s="884"/>
      <c r="FQ95" s="884"/>
      <c r="FR95" s="884"/>
      <c r="FS95" s="884"/>
      <c r="FT95" s="884"/>
      <c r="FU95" s="884"/>
      <c r="FV95" s="884"/>
      <c r="FW95" s="884"/>
      <c r="FX95" s="884"/>
      <c r="FY95" s="884"/>
      <c r="FZ95" s="884"/>
      <c r="GA95" s="884"/>
      <c r="GB95" s="884"/>
      <c r="GC95" s="884"/>
      <c r="GD95" s="884"/>
      <c r="GE95" s="884"/>
      <c r="GF95" s="884"/>
      <c r="GG95" s="884"/>
      <c r="GH95" s="884"/>
      <c r="GI95" s="884"/>
      <c r="GJ95" s="884"/>
      <c r="GK95" s="884"/>
      <c r="GL95" s="884"/>
      <c r="GM95" s="884"/>
      <c r="GN95" s="884"/>
      <c r="GO95" s="884"/>
      <c r="GP95" s="884"/>
      <c r="GQ95" s="884"/>
      <c r="GR95" s="884"/>
      <c r="GS95" s="884"/>
      <c r="GT95" s="884"/>
      <c r="GU95" s="884"/>
      <c r="GV95" s="884"/>
      <c r="GW95" s="884"/>
      <c r="GX95" s="884"/>
      <c r="GY95" s="884"/>
      <c r="GZ95" s="884"/>
      <c r="HA95" s="884"/>
      <c r="HB95" s="884"/>
      <c r="HC95" s="884"/>
      <c r="HD95" s="884"/>
      <c r="HE95" s="884"/>
      <c r="HF95" s="884"/>
      <c r="HG95" s="884"/>
      <c r="HH95" s="884"/>
      <c r="HI95" s="884"/>
      <c r="HJ95" s="884"/>
      <c r="HK95" s="884"/>
      <c r="HL95" s="884"/>
      <c r="HM95" s="884"/>
      <c r="HN95" s="884"/>
      <c r="HO95" s="884"/>
      <c r="HP95" s="884"/>
      <c r="HQ95" s="884"/>
      <c r="HR95" s="884"/>
      <c r="HS95" s="884"/>
      <c r="HT95" s="884"/>
      <c r="HU95" s="884"/>
      <c r="HV95" s="884"/>
      <c r="HW95" s="884"/>
      <c r="HX95" s="884"/>
      <c r="HY95" s="884"/>
      <c r="HZ95" s="884"/>
      <c r="IA95" s="884"/>
      <c r="IB95" s="884"/>
      <c r="IC95" s="884"/>
      <c r="ID95" s="884"/>
      <c r="IE95" s="884"/>
      <c r="IF95" s="884"/>
      <c r="IG95" s="884"/>
      <c r="IH95" s="884"/>
      <c r="II95" s="884"/>
      <c r="IJ95" s="884"/>
      <c r="IK95" s="884"/>
      <c r="IL95" s="884"/>
      <c r="IM95" s="884"/>
      <c r="IN95" s="884"/>
      <c r="IO95" s="884"/>
      <c r="IP95" s="884"/>
      <c r="IQ95" s="884"/>
      <c r="IR95" s="884"/>
      <c r="IS95" s="884"/>
      <c r="IT95" s="884"/>
      <c r="IU95" s="884"/>
      <c r="IV95" s="884"/>
      <c r="IW95" s="884"/>
      <c r="IX95" s="884"/>
      <c r="IY95" s="884"/>
      <c r="IZ95" s="884"/>
      <c r="JA95" s="884"/>
      <c r="JB95" s="884"/>
      <c r="JC95" s="884"/>
      <c r="JD95" s="884"/>
      <c r="JE95" s="884"/>
      <c r="JF95" s="884"/>
      <c r="JG95" s="884"/>
      <c r="JH95" s="884"/>
      <c r="JI95" s="884"/>
      <c r="JJ95" s="884"/>
      <c r="JK95" s="884"/>
      <c r="JL95" s="884"/>
      <c r="JM95" s="884"/>
      <c r="JN95" s="884"/>
      <c r="JO95" s="884"/>
      <c r="JP95" s="884"/>
      <c r="JQ95" s="884"/>
      <c r="JR95" s="884"/>
      <c r="JS95" s="884"/>
      <c r="JT95" s="884"/>
      <c r="JU95" s="884"/>
      <c r="JV95" s="884"/>
      <c r="JW95" s="884"/>
    </row>
    <row r="96" spans="1:283" s="883" customFormat="1" ht="135" customHeight="1" x14ac:dyDescent="0.2">
      <c r="A96" s="4108"/>
      <c r="B96" s="971"/>
      <c r="C96" s="985"/>
      <c r="D96" s="985"/>
      <c r="E96" s="4109"/>
      <c r="F96" s="4110"/>
      <c r="G96" s="4125">
        <v>193</v>
      </c>
      <c r="H96" s="4128" t="s">
        <v>897</v>
      </c>
      <c r="I96" s="4128" t="s">
        <v>898</v>
      </c>
      <c r="J96" s="4111">
        <v>1</v>
      </c>
      <c r="K96" s="4125" t="s">
        <v>899</v>
      </c>
      <c r="L96" s="4111" t="s">
        <v>900</v>
      </c>
      <c r="M96" s="4128" t="s">
        <v>897</v>
      </c>
      <c r="N96" s="4116">
        <v>1</v>
      </c>
      <c r="O96" s="4118">
        <v>29800000</v>
      </c>
      <c r="P96" s="4120" t="s">
        <v>901</v>
      </c>
      <c r="Q96" s="4122" t="s">
        <v>902</v>
      </c>
      <c r="R96" s="994" t="s">
        <v>903</v>
      </c>
      <c r="S96" s="912">
        <v>7450000</v>
      </c>
      <c r="T96" s="2490" t="s">
        <v>61</v>
      </c>
      <c r="U96" s="2485" t="s">
        <v>357</v>
      </c>
      <c r="V96" s="4111">
        <v>13</v>
      </c>
      <c r="W96" s="4111">
        <v>21</v>
      </c>
      <c r="X96" s="4111">
        <v>0</v>
      </c>
      <c r="Y96" s="4111">
        <v>0</v>
      </c>
      <c r="Z96" s="4111">
        <v>0</v>
      </c>
      <c r="AA96" s="4111">
        <v>0</v>
      </c>
      <c r="AB96" s="4111">
        <v>34</v>
      </c>
      <c r="AC96" s="4111">
        <v>0</v>
      </c>
      <c r="AD96" s="4111">
        <v>0</v>
      </c>
      <c r="AE96" s="4111">
        <v>0</v>
      </c>
      <c r="AF96" s="4111">
        <v>0</v>
      </c>
      <c r="AG96" s="4111">
        <v>0</v>
      </c>
      <c r="AH96" s="4111">
        <v>0</v>
      </c>
      <c r="AI96" s="4111">
        <v>0</v>
      </c>
      <c r="AJ96" s="4111">
        <v>0</v>
      </c>
      <c r="AK96" s="4111">
        <f>+V96+W96</f>
        <v>34</v>
      </c>
      <c r="AL96" s="4124">
        <v>43556</v>
      </c>
      <c r="AM96" s="4124">
        <v>43800</v>
      </c>
      <c r="AN96" s="4111" t="s">
        <v>751</v>
      </c>
      <c r="AT96" s="884"/>
      <c r="AU96" s="884"/>
      <c r="AV96" s="884"/>
      <c r="AW96" s="884"/>
      <c r="AX96" s="884"/>
      <c r="AY96" s="884"/>
      <c r="AZ96" s="884"/>
      <c r="BA96" s="884"/>
      <c r="BB96" s="884"/>
      <c r="BC96" s="884"/>
      <c r="BD96" s="884"/>
      <c r="BE96" s="884"/>
      <c r="BF96" s="884"/>
      <c r="BG96" s="884"/>
      <c r="BH96" s="884"/>
      <c r="BI96" s="884"/>
      <c r="BJ96" s="884"/>
      <c r="BK96" s="884"/>
      <c r="BL96" s="884"/>
      <c r="BM96" s="884"/>
      <c r="BN96" s="884"/>
      <c r="BO96" s="884"/>
      <c r="BP96" s="884"/>
      <c r="BQ96" s="884"/>
      <c r="BR96" s="884"/>
      <c r="BS96" s="884"/>
      <c r="BT96" s="884"/>
      <c r="BU96" s="884"/>
      <c r="BV96" s="884"/>
      <c r="BW96" s="884"/>
      <c r="BX96" s="884"/>
      <c r="BY96" s="884"/>
      <c r="BZ96" s="884"/>
      <c r="CA96" s="884"/>
      <c r="CB96" s="884"/>
      <c r="CC96" s="884"/>
      <c r="CD96" s="884"/>
      <c r="CE96" s="884"/>
      <c r="CF96" s="884"/>
      <c r="CG96" s="884"/>
      <c r="CH96" s="884"/>
      <c r="CI96" s="884"/>
      <c r="CJ96" s="884"/>
      <c r="CK96" s="884"/>
      <c r="CL96" s="884"/>
      <c r="CM96" s="884"/>
      <c r="CN96" s="884"/>
      <c r="CO96" s="884"/>
      <c r="CP96" s="884"/>
      <c r="CQ96" s="884"/>
      <c r="CR96" s="884"/>
      <c r="CS96" s="884"/>
      <c r="CT96" s="884"/>
      <c r="CU96" s="884"/>
      <c r="CV96" s="884"/>
      <c r="CW96" s="884"/>
      <c r="CX96" s="884"/>
      <c r="CY96" s="884"/>
      <c r="CZ96" s="884"/>
      <c r="DA96" s="884"/>
      <c r="DB96" s="884"/>
      <c r="DC96" s="884"/>
      <c r="DD96" s="884"/>
      <c r="DE96" s="884"/>
      <c r="DF96" s="884"/>
      <c r="DG96" s="884"/>
      <c r="DH96" s="884"/>
      <c r="DI96" s="884"/>
      <c r="DJ96" s="884"/>
      <c r="DK96" s="884"/>
      <c r="DL96" s="884"/>
      <c r="DM96" s="884"/>
      <c r="DN96" s="884"/>
      <c r="DO96" s="884"/>
      <c r="DP96" s="884"/>
      <c r="DQ96" s="884"/>
      <c r="DR96" s="884"/>
      <c r="DS96" s="884"/>
      <c r="DT96" s="884"/>
      <c r="DU96" s="884"/>
      <c r="DV96" s="884"/>
      <c r="DW96" s="884"/>
      <c r="DX96" s="884"/>
      <c r="DY96" s="884"/>
      <c r="DZ96" s="884"/>
      <c r="EA96" s="884"/>
      <c r="EB96" s="884"/>
      <c r="EC96" s="884"/>
      <c r="ED96" s="884"/>
      <c r="EE96" s="884"/>
      <c r="EF96" s="884"/>
      <c r="EG96" s="884"/>
      <c r="EH96" s="884"/>
      <c r="EI96" s="884"/>
      <c r="EJ96" s="884"/>
      <c r="EK96" s="884"/>
      <c r="EL96" s="884"/>
      <c r="EM96" s="884"/>
      <c r="EN96" s="884"/>
      <c r="EO96" s="884"/>
      <c r="EP96" s="884"/>
      <c r="EQ96" s="884"/>
      <c r="ER96" s="884"/>
      <c r="ES96" s="884"/>
      <c r="ET96" s="884"/>
      <c r="EU96" s="884"/>
      <c r="EV96" s="884"/>
      <c r="EW96" s="884"/>
      <c r="EX96" s="884"/>
      <c r="EY96" s="884"/>
      <c r="EZ96" s="884"/>
      <c r="FA96" s="884"/>
      <c r="FB96" s="884"/>
      <c r="FC96" s="884"/>
      <c r="FD96" s="884"/>
      <c r="FE96" s="884"/>
      <c r="FF96" s="884"/>
      <c r="FG96" s="884"/>
      <c r="FH96" s="884"/>
      <c r="FI96" s="884"/>
      <c r="FJ96" s="884"/>
      <c r="FK96" s="884"/>
      <c r="FL96" s="884"/>
      <c r="FM96" s="884"/>
      <c r="FN96" s="884"/>
      <c r="FO96" s="884"/>
      <c r="FP96" s="884"/>
      <c r="FQ96" s="884"/>
      <c r="FR96" s="884"/>
      <c r="FS96" s="884"/>
      <c r="FT96" s="884"/>
      <c r="FU96" s="884"/>
      <c r="FV96" s="884"/>
      <c r="FW96" s="884"/>
      <c r="FX96" s="884"/>
      <c r="FY96" s="884"/>
      <c r="FZ96" s="884"/>
      <c r="GA96" s="884"/>
      <c r="GB96" s="884"/>
      <c r="GC96" s="884"/>
      <c r="GD96" s="884"/>
      <c r="GE96" s="884"/>
      <c r="GF96" s="884"/>
      <c r="GG96" s="884"/>
      <c r="GH96" s="884"/>
      <c r="GI96" s="884"/>
      <c r="GJ96" s="884"/>
      <c r="GK96" s="884"/>
      <c r="GL96" s="884"/>
      <c r="GM96" s="884"/>
      <c r="GN96" s="884"/>
      <c r="GO96" s="884"/>
      <c r="GP96" s="884"/>
      <c r="GQ96" s="884"/>
      <c r="GR96" s="884"/>
      <c r="GS96" s="884"/>
      <c r="GT96" s="884"/>
      <c r="GU96" s="884"/>
      <c r="GV96" s="884"/>
      <c r="GW96" s="884"/>
      <c r="GX96" s="884"/>
      <c r="GY96" s="884"/>
      <c r="GZ96" s="884"/>
      <c r="HA96" s="884"/>
      <c r="HB96" s="884"/>
      <c r="HC96" s="884"/>
      <c r="HD96" s="884"/>
      <c r="HE96" s="884"/>
      <c r="HF96" s="884"/>
      <c r="HG96" s="884"/>
      <c r="HH96" s="884"/>
      <c r="HI96" s="884"/>
      <c r="HJ96" s="884"/>
      <c r="HK96" s="884"/>
      <c r="HL96" s="884"/>
      <c r="HM96" s="884"/>
      <c r="HN96" s="884"/>
      <c r="HO96" s="884"/>
      <c r="HP96" s="884"/>
      <c r="HQ96" s="884"/>
      <c r="HR96" s="884"/>
      <c r="HS96" s="884"/>
      <c r="HT96" s="884"/>
      <c r="HU96" s="884"/>
      <c r="HV96" s="884"/>
      <c r="HW96" s="884"/>
      <c r="HX96" s="884"/>
      <c r="HY96" s="884"/>
      <c r="HZ96" s="884"/>
      <c r="IA96" s="884"/>
      <c r="IB96" s="884"/>
      <c r="IC96" s="884"/>
      <c r="ID96" s="884"/>
      <c r="IE96" s="884"/>
      <c r="IF96" s="884"/>
      <c r="IG96" s="884"/>
      <c r="IH96" s="884"/>
      <c r="II96" s="884"/>
      <c r="IJ96" s="884"/>
      <c r="IK96" s="884"/>
      <c r="IL96" s="884"/>
      <c r="IM96" s="884"/>
      <c r="IN96" s="884"/>
      <c r="IO96" s="884"/>
      <c r="IP96" s="884"/>
      <c r="IQ96" s="884"/>
      <c r="IR96" s="884"/>
      <c r="IS96" s="884"/>
      <c r="IT96" s="884"/>
      <c r="IU96" s="884"/>
      <c r="IV96" s="884"/>
      <c r="IW96" s="884"/>
      <c r="IX96" s="884"/>
      <c r="IY96" s="884"/>
      <c r="IZ96" s="884"/>
      <c r="JA96" s="884"/>
      <c r="JB96" s="884"/>
      <c r="JC96" s="884"/>
      <c r="JD96" s="884"/>
      <c r="JE96" s="884"/>
      <c r="JF96" s="884"/>
      <c r="JG96" s="884"/>
      <c r="JH96" s="884"/>
      <c r="JI96" s="884"/>
      <c r="JJ96" s="884"/>
      <c r="JK96" s="884"/>
      <c r="JL96" s="884"/>
      <c r="JM96" s="884"/>
      <c r="JN96" s="884"/>
      <c r="JO96" s="884"/>
      <c r="JP96" s="884"/>
      <c r="JQ96" s="884"/>
      <c r="JR96" s="884"/>
      <c r="JS96" s="884"/>
      <c r="JT96" s="884"/>
      <c r="JU96" s="884"/>
      <c r="JV96" s="884"/>
      <c r="JW96" s="884"/>
    </row>
    <row r="97" spans="1:283" s="883" customFormat="1" ht="45" x14ac:dyDescent="0.2">
      <c r="A97" s="4108"/>
      <c r="B97" s="971"/>
      <c r="C97" s="985"/>
      <c r="D97" s="985"/>
      <c r="E97" s="4109"/>
      <c r="F97" s="4110"/>
      <c r="G97" s="4126"/>
      <c r="H97" s="4129"/>
      <c r="I97" s="4129"/>
      <c r="J97" s="4131"/>
      <c r="K97" s="4126"/>
      <c r="L97" s="4131"/>
      <c r="M97" s="4129"/>
      <c r="N97" s="4132"/>
      <c r="O97" s="4133"/>
      <c r="P97" s="4134"/>
      <c r="Q97" s="4123"/>
      <c r="R97" s="994" t="s">
        <v>904</v>
      </c>
      <c r="S97" s="912">
        <v>7450000</v>
      </c>
      <c r="T97" s="2490" t="s">
        <v>61</v>
      </c>
      <c r="U97" s="2485" t="s">
        <v>357</v>
      </c>
      <c r="V97" s="4131"/>
      <c r="W97" s="4131"/>
      <c r="X97" s="4131"/>
      <c r="Y97" s="4131"/>
      <c r="Z97" s="4131"/>
      <c r="AA97" s="4131"/>
      <c r="AB97" s="4131"/>
      <c r="AC97" s="4131"/>
      <c r="AD97" s="4131"/>
      <c r="AE97" s="4131"/>
      <c r="AF97" s="4131"/>
      <c r="AG97" s="4131"/>
      <c r="AH97" s="4131"/>
      <c r="AI97" s="4131"/>
      <c r="AJ97" s="4131"/>
      <c r="AK97" s="4131"/>
      <c r="AL97" s="4131"/>
      <c r="AM97" s="4131"/>
      <c r="AN97" s="4131"/>
      <c r="AT97" s="884"/>
      <c r="AU97" s="884"/>
      <c r="AV97" s="884"/>
      <c r="AW97" s="884"/>
      <c r="AX97" s="884"/>
      <c r="AY97" s="884"/>
      <c r="AZ97" s="884"/>
      <c r="BA97" s="884"/>
      <c r="BB97" s="884"/>
      <c r="BC97" s="884"/>
      <c r="BD97" s="884"/>
      <c r="BE97" s="884"/>
      <c r="BF97" s="884"/>
      <c r="BG97" s="884"/>
      <c r="BH97" s="884"/>
      <c r="BI97" s="884"/>
      <c r="BJ97" s="884"/>
      <c r="BK97" s="884"/>
      <c r="BL97" s="884"/>
      <c r="BM97" s="884"/>
      <c r="BN97" s="884"/>
      <c r="BO97" s="884"/>
      <c r="BP97" s="884"/>
      <c r="BQ97" s="884"/>
      <c r="BR97" s="884"/>
      <c r="BS97" s="884"/>
      <c r="BT97" s="884"/>
      <c r="BU97" s="884"/>
      <c r="BV97" s="884"/>
      <c r="BW97" s="884"/>
      <c r="BX97" s="884"/>
      <c r="BY97" s="884"/>
      <c r="BZ97" s="884"/>
      <c r="CA97" s="884"/>
      <c r="CB97" s="884"/>
      <c r="CC97" s="884"/>
      <c r="CD97" s="884"/>
      <c r="CE97" s="884"/>
      <c r="CF97" s="884"/>
      <c r="CG97" s="884"/>
      <c r="CH97" s="884"/>
      <c r="CI97" s="884"/>
      <c r="CJ97" s="884"/>
      <c r="CK97" s="884"/>
      <c r="CL97" s="884"/>
      <c r="CM97" s="884"/>
      <c r="CN97" s="884"/>
      <c r="CO97" s="884"/>
      <c r="CP97" s="884"/>
      <c r="CQ97" s="884"/>
      <c r="CR97" s="884"/>
      <c r="CS97" s="884"/>
      <c r="CT97" s="884"/>
      <c r="CU97" s="884"/>
      <c r="CV97" s="884"/>
      <c r="CW97" s="884"/>
      <c r="CX97" s="884"/>
      <c r="CY97" s="884"/>
      <c r="CZ97" s="884"/>
      <c r="DA97" s="884"/>
      <c r="DB97" s="884"/>
      <c r="DC97" s="884"/>
      <c r="DD97" s="884"/>
      <c r="DE97" s="884"/>
      <c r="DF97" s="884"/>
      <c r="DG97" s="884"/>
      <c r="DH97" s="884"/>
      <c r="DI97" s="884"/>
      <c r="DJ97" s="884"/>
      <c r="DK97" s="884"/>
      <c r="DL97" s="884"/>
      <c r="DM97" s="884"/>
      <c r="DN97" s="884"/>
      <c r="DO97" s="884"/>
      <c r="DP97" s="884"/>
      <c r="DQ97" s="884"/>
      <c r="DR97" s="884"/>
      <c r="DS97" s="884"/>
      <c r="DT97" s="884"/>
      <c r="DU97" s="884"/>
      <c r="DV97" s="884"/>
      <c r="DW97" s="884"/>
      <c r="DX97" s="884"/>
      <c r="DY97" s="884"/>
      <c r="DZ97" s="884"/>
      <c r="EA97" s="884"/>
      <c r="EB97" s="884"/>
      <c r="EC97" s="884"/>
      <c r="ED97" s="884"/>
      <c r="EE97" s="884"/>
      <c r="EF97" s="884"/>
      <c r="EG97" s="884"/>
      <c r="EH97" s="884"/>
      <c r="EI97" s="884"/>
      <c r="EJ97" s="884"/>
      <c r="EK97" s="884"/>
      <c r="EL97" s="884"/>
      <c r="EM97" s="884"/>
      <c r="EN97" s="884"/>
      <c r="EO97" s="884"/>
      <c r="EP97" s="884"/>
      <c r="EQ97" s="884"/>
      <c r="ER97" s="884"/>
      <c r="ES97" s="884"/>
      <c r="ET97" s="884"/>
      <c r="EU97" s="884"/>
      <c r="EV97" s="884"/>
      <c r="EW97" s="884"/>
      <c r="EX97" s="884"/>
      <c r="EY97" s="884"/>
      <c r="EZ97" s="884"/>
      <c r="FA97" s="884"/>
      <c r="FB97" s="884"/>
      <c r="FC97" s="884"/>
      <c r="FD97" s="884"/>
      <c r="FE97" s="884"/>
      <c r="FF97" s="884"/>
      <c r="FG97" s="884"/>
      <c r="FH97" s="884"/>
      <c r="FI97" s="884"/>
      <c r="FJ97" s="884"/>
      <c r="FK97" s="884"/>
      <c r="FL97" s="884"/>
      <c r="FM97" s="884"/>
      <c r="FN97" s="884"/>
      <c r="FO97" s="884"/>
      <c r="FP97" s="884"/>
      <c r="FQ97" s="884"/>
      <c r="FR97" s="884"/>
      <c r="FS97" s="884"/>
      <c r="FT97" s="884"/>
      <c r="FU97" s="884"/>
      <c r="FV97" s="884"/>
      <c r="FW97" s="884"/>
      <c r="FX97" s="884"/>
      <c r="FY97" s="884"/>
      <c r="FZ97" s="884"/>
      <c r="GA97" s="884"/>
      <c r="GB97" s="884"/>
      <c r="GC97" s="884"/>
      <c r="GD97" s="884"/>
      <c r="GE97" s="884"/>
      <c r="GF97" s="884"/>
      <c r="GG97" s="884"/>
      <c r="GH97" s="884"/>
      <c r="GI97" s="884"/>
      <c r="GJ97" s="884"/>
      <c r="GK97" s="884"/>
      <c r="GL97" s="884"/>
      <c r="GM97" s="884"/>
      <c r="GN97" s="884"/>
      <c r="GO97" s="884"/>
      <c r="GP97" s="884"/>
      <c r="GQ97" s="884"/>
      <c r="GR97" s="884"/>
      <c r="GS97" s="884"/>
      <c r="GT97" s="884"/>
      <c r="GU97" s="884"/>
      <c r="GV97" s="884"/>
      <c r="GW97" s="884"/>
      <c r="GX97" s="884"/>
      <c r="GY97" s="884"/>
      <c r="GZ97" s="884"/>
      <c r="HA97" s="884"/>
      <c r="HB97" s="884"/>
      <c r="HC97" s="884"/>
      <c r="HD97" s="884"/>
      <c r="HE97" s="884"/>
      <c r="HF97" s="884"/>
      <c r="HG97" s="884"/>
      <c r="HH97" s="884"/>
      <c r="HI97" s="884"/>
      <c r="HJ97" s="884"/>
      <c r="HK97" s="884"/>
      <c r="HL97" s="884"/>
      <c r="HM97" s="884"/>
      <c r="HN97" s="884"/>
      <c r="HO97" s="884"/>
      <c r="HP97" s="884"/>
      <c r="HQ97" s="884"/>
      <c r="HR97" s="884"/>
      <c r="HS97" s="884"/>
      <c r="HT97" s="884"/>
      <c r="HU97" s="884"/>
      <c r="HV97" s="884"/>
      <c r="HW97" s="884"/>
      <c r="HX97" s="884"/>
      <c r="HY97" s="884"/>
      <c r="HZ97" s="884"/>
      <c r="IA97" s="884"/>
      <c r="IB97" s="884"/>
      <c r="IC97" s="884"/>
      <c r="ID97" s="884"/>
      <c r="IE97" s="884"/>
      <c r="IF97" s="884"/>
      <c r="IG97" s="884"/>
      <c r="IH97" s="884"/>
      <c r="II97" s="884"/>
      <c r="IJ97" s="884"/>
      <c r="IK97" s="884"/>
      <c r="IL97" s="884"/>
      <c r="IM97" s="884"/>
      <c r="IN97" s="884"/>
      <c r="IO97" s="884"/>
      <c r="IP97" s="884"/>
      <c r="IQ97" s="884"/>
      <c r="IR97" s="884"/>
      <c r="IS97" s="884"/>
      <c r="IT97" s="884"/>
      <c r="IU97" s="884"/>
      <c r="IV97" s="884"/>
      <c r="IW97" s="884"/>
      <c r="IX97" s="884"/>
      <c r="IY97" s="884"/>
      <c r="IZ97" s="884"/>
      <c r="JA97" s="884"/>
      <c r="JB97" s="884"/>
      <c r="JC97" s="884"/>
      <c r="JD97" s="884"/>
      <c r="JE97" s="884"/>
      <c r="JF97" s="884"/>
      <c r="JG97" s="884"/>
      <c r="JH97" s="884"/>
      <c r="JI97" s="884"/>
      <c r="JJ97" s="884"/>
      <c r="JK97" s="884"/>
      <c r="JL97" s="884"/>
      <c r="JM97" s="884"/>
      <c r="JN97" s="884"/>
      <c r="JO97" s="884"/>
      <c r="JP97" s="884"/>
      <c r="JQ97" s="884"/>
      <c r="JR97" s="884"/>
      <c r="JS97" s="884"/>
      <c r="JT97" s="884"/>
      <c r="JU97" s="884"/>
      <c r="JV97" s="884"/>
      <c r="JW97" s="884"/>
    </row>
    <row r="98" spans="1:283" s="883" customFormat="1" ht="30" x14ac:dyDescent="0.2">
      <c r="A98" s="4108"/>
      <c r="B98" s="971"/>
      <c r="C98" s="985"/>
      <c r="D98" s="985"/>
      <c r="E98" s="4109"/>
      <c r="F98" s="4110"/>
      <c r="G98" s="4127"/>
      <c r="H98" s="4130"/>
      <c r="I98" s="4130"/>
      <c r="J98" s="4112"/>
      <c r="K98" s="4127"/>
      <c r="L98" s="4112"/>
      <c r="M98" s="4130"/>
      <c r="N98" s="4117"/>
      <c r="O98" s="4119"/>
      <c r="P98" s="4121"/>
      <c r="Q98" s="995" t="s">
        <v>905</v>
      </c>
      <c r="R98" s="994" t="s">
        <v>906</v>
      </c>
      <c r="S98" s="912">
        <v>14900000</v>
      </c>
      <c r="T98" s="2490" t="s">
        <v>61</v>
      </c>
      <c r="U98" s="2485" t="s">
        <v>357</v>
      </c>
      <c r="V98" s="4112"/>
      <c r="W98" s="4112"/>
      <c r="X98" s="4112"/>
      <c r="Y98" s="4112"/>
      <c r="Z98" s="4112"/>
      <c r="AA98" s="4112"/>
      <c r="AB98" s="4112"/>
      <c r="AC98" s="4112"/>
      <c r="AD98" s="4112"/>
      <c r="AE98" s="4112"/>
      <c r="AF98" s="4112"/>
      <c r="AG98" s="4112"/>
      <c r="AH98" s="4112"/>
      <c r="AI98" s="4112"/>
      <c r="AJ98" s="4112"/>
      <c r="AK98" s="4112"/>
      <c r="AL98" s="4112"/>
      <c r="AM98" s="4112"/>
      <c r="AN98" s="4112"/>
      <c r="AT98" s="884"/>
      <c r="AU98" s="884"/>
      <c r="AV98" s="884"/>
      <c r="AW98" s="884"/>
      <c r="AX98" s="884"/>
      <c r="AY98" s="884"/>
      <c r="AZ98" s="884"/>
      <c r="BA98" s="884"/>
      <c r="BB98" s="884"/>
      <c r="BC98" s="884"/>
      <c r="BD98" s="884"/>
      <c r="BE98" s="884"/>
      <c r="BF98" s="884"/>
      <c r="BG98" s="884"/>
      <c r="BH98" s="884"/>
      <c r="BI98" s="884"/>
      <c r="BJ98" s="884"/>
      <c r="BK98" s="884"/>
      <c r="BL98" s="884"/>
      <c r="BM98" s="884"/>
      <c r="BN98" s="884"/>
      <c r="BO98" s="884"/>
      <c r="BP98" s="884"/>
      <c r="BQ98" s="884"/>
      <c r="BR98" s="884"/>
      <c r="BS98" s="884"/>
      <c r="BT98" s="884"/>
      <c r="BU98" s="884"/>
      <c r="BV98" s="884"/>
      <c r="BW98" s="884"/>
      <c r="BX98" s="884"/>
      <c r="BY98" s="884"/>
      <c r="BZ98" s="884"/>
      <c r="CA98" s="884"/>
      <c r="CB98" s="884"/>
      <c r="CC98" s="884"/>
      <c r="CD98" s="884"/>
      <c r="CE98" s="884"/>
      <c r="CF98" s="884"/>
      <c r="CG98" s="884"/>
      <c r="CH98" s="884"/>
      <c r="CI98" s="884"/>
      <c r="CJ98" s="884"/>
      <c r="CK98" s="884"/>
      <c r="CL98" s="884"/>
      <c r="CM98" s="884"/>
      <c r="CN98" s="884"/>
      <c r="CO98" s="884"/>
      <c r="CP98" s="884"/>
      <c r="CQ98" s="884"/>
      <c r="CR98" s="884"/>
      <c r="CS98" s="884"/>
      <c r="CT98" s="884"/>
      <c r="CU98" s="884"/>
      <c r="CV98" s="884"/>
      <c r="CW98" s="884"/>
      <c r="CX98" s="884"/>
      <c r="CY98" s="884"/>
      <c r="CZ98" s="884"/>
      <c r="DA98" s="884"/>
      <c r="DB98" s="884"/>
      <c r="DC98" s="884"/>
      <c r="DD98" s="884"/>
      <c r="DE98" s="884"/>
      <c r="DF98" s="884"/>
      <c r="DG98" s="884"/>
      <c r="DH98" s="884"/>
      <c r="DI98" s="884"/>
      <c r="DJ98" s="884"/>
      <c r="DK98" s="884"/>
      <c r="DL98" s="884"/>
      <c r="DM98" s="884"/>
      <c r="DN98" s="884"/>
      <c r="DO98" s="884"/>
      <c r="DP98" s="884"/>
      <c r="DQ98" s="884"/>
      <c r="DR98" s="884"/>
      <c r="DS98" s="884"/>
      <c r="DT98" s="884"/>
      <c r="DU98" s="884"/>
      <c r="DV98" s="884"/>
      <c r="DW98" s="884"/>
      <c r="DX98" s="884"/>
      <c r="DY98" s="884"/>
      <c r="DZ98" s="884"/>
      <c r="EA98" s="884"/>
      <c r="EB98" s="884"/>
      <c r="EC98" s="884"/>
      <c r="ED98" s="884"/>
      <c r="EE98" s="884"/>
      <c r="EF98" s="884"/>
      <c r="EG98" s="884"/>
      <c r="EH98" s="884"/>
      <c r="EI98" s="884"/>
      <c r="EJ98" s="884"/>
      <c r="EK98" s="884"/>
      <c r="EL98" s="884"/>
      <c r="EM98" s="884"/>
      <c r="EN98" s="884"/>
      <c r="EO98" s="884"/>
      <c r="EP98" s="884"/>
      <c r="EQ98" s="884"/>
      <c r="ER98" s="884"/>
      <c r="ES98" s="884"/>
      <c r="ET98" s="884"/>
      <c r="EU98" s="884"/>
      <c r="EV98" s="884"/>
      <c r="EW98" s="884"/>
      <c r="EX98" s="884"/>
      <c r="EY98" s="884"/>
      <c r="EZ98" s="884"/>
      <c r="FA98" s="884"/>
      <c r="FB98" s="884"/>
      <c r="FC98" s="884"/>
      <c r="FD98" s="884"/>
      <c r="FE98" s="884"/>
      <c r="FF98" s="884"/>
      <c r="FG98" s="884"/>
      <c r="FH98" s="884"/>
      <c r="FI98" s="884"/>
      <c r="FJ98" s="884"/>
      <c r="FK98" s="884"/>
      <c r="FL98" s="884"/>
      <c r="FM98" s="884"/>
      <c r="FN98" s="884"/>
      <c r="FO98" s="884"/>
      <c r="FP98" s="884"/>
      <c r="FQ98" s="884"/>
      <c r="FR98" s="884"/>
      <c r="FS98" s="884"/>
      <c r="FT98" s="884"/>
      <c r="FU98" s="884"/>
      <c r="FV98" s="884"/>
      <c r="FW98" s="884"/>
      <c r="FX98" s="884"/>
      <c r="FY98" s="884"/>
      <c r="FZ98" s="884"/>
      <c r="GA98" s="884"/>
      <c r="GB98" s="884"/>
      <c r="GC98" s="884"/>
      <c r="GD98" s="884"/>
      <c r="GE98" s="884"/>
      <c r="GF98" s="884"/>
      <c r="GG98" s="884"/>
      <c r="GH98" s="884"/>
      <c r="GI98" s="884"/>
      <c r="GJ98" s="884"/>
      <c r="GK98" s="884"/>
      <c r="GL98" s="884"/>
      <c r="GM98" s="884"/>
      <c r="GN98" s="884"/>
      <c r="GO98" s="884"/>
      <c r="GP98" s="884"/>
      <c r="GQ98" s="884"/>
      <c r="GR98" s="884"/>
      <c r="GS98" s="884"/>
      <c r="GT98" s="884"/>
      <c r="GU98" s="884"/>
      <c r="GV98" s="884"/>
      <c r="GW98" s="884"/>
      <c r="GX98" s="884"/>
      <c r="GY98" s="884"/>
      <c r="GZ98" s="884"/>
      <c r="HA98" s="884"/>
      <c r="HB98" s="884"/>
      <c r="HC98" s="884"/>
      <c r="HD98" s="884"/>
      <c r="HE98" s="884"/>
      <c r="HF98" s="884"/>
      <c r="HG98" s="884"/>
      <c r="HH98" s="884"/>
      <c r="HI98" s="884"/>
      <c r="HJ98" s="884"/>
      <c r="HK98" s="884"/>
      <c r="HL98" s="884"/>
      <c r="HM98" s="884"/>
      <c r="HN98" s="884"/>
      <c r="HO98" s="884"/>
      <c r="HP98" s="884"/>
      <c r="HQ98" s="884"/>
      <c r="HR98" s="884"/>
      <c r="HS98" s="884"/>
      <c r="HT98" s="884"/>
      <c r="HU98" s="884"/>
      <c r="HV98" s="884"/>
      <c r="HW98" s="884"/>
      <c r="HX98" s="884"/>
      <c r="HY98" s="884"/>
      <c r="HZ98" s="884"/>
      <c r="IA98" s="884"/>
      <c r="IB98" s="884"/>
      <c r="IC98" s="884"/>
      <c r="ID98" s="884"/>
      <c r="IE98" s="884"/>
      <c r="IF98" s="884"/>
      <c r="IG98" s="884"/>
      <c r="IH98" s="884"/>
      <c r="II98" s="884"/>
      <c r="IJ98" s="884"/>
      <c r="IK98" s="884"/>
      <c r="IL98" s="884"/>
      <c r="IM98" s="884"/>
      <c r="IN98" s="884"/>
      <c r="IO98" s="884"/>
      <c r="IP98" s="884"/>
      <c r="IQ98" s="884"/>
      <c r="IR98" s="884"/>
      <c r="IS98" s="884"/>
      <c r="IT98" s="884"/>
      <c r="IU98" s="884"/>
      <c r="IV98" s="884"/>
      <c r="IW98" s="884"/>
      <c r="IX98" s="884"/>
      <c r="IY98" s="884"/>
      <c r="IZ98" s="884"/>
      <c r="JA98" s="884"/>
      <c r="JB98" s="884"/>
      <c r="JC98" s="884"/>
      <c r="JD98" s="884"/>
      <c r="JE98" s="884"/>
      <c r="JF98" s="884"/>
      <c r="JG98" s="884"/>
      <c r="JH98" s="884"/>
      <c r="JI98" s="884"/>
      <c r="JJ98" s="884"/>
      <c r="JK98" s="884"/>
      <c r="JL98" s="884"/>
      <c r="JM98" s="884"/>
      <c r="JN98" s="884"/>
      <c r="JO98" s="884"/>
      <c r="JP98" s="884"/>
      <c r="JQ98" s="884"/>
      <c r="JR98" s="884"/>
      <c r="JS98" s="884"/>
      <c r="JT98" s="884"/>
      <c r="JU98" s="884"/>
      <c r="JV98" s="884"/>
      <c r="JW98" s="884"/>
    </row>
    <row r="99" spans="1:283" s="883" customFormat="1" ht="90" customHeight="1" x14ac:dyDescent="0.2">
      <c r="A99" s="4108"/>
      <c r="B99" s="971"/>
      <c r="C99" s="985"/>
      <c r="D99" s="985"/>
      <c r="E99" s="4109"/>
      <c r="F99" s="4110"/>
      <c r="G99" s="4125">
        <v>194</v>
      </c>
      <c r="H99" s="4128" t="s">
        <v>907</v>
      </c>
      <c r="I99" s="4128" t="s">
        <v>908</v>
      </c>
      <c r="J99" s="4111">
        <v>1</v>
      </c>
      <c r="K99" s="4125" t="s">
        <v>909</v>
      </c>
      <c r="L99" s="4111" t="s">
        <v>910</v>
      </c>
      <c r="M99" s="4128" t="s">
        <v>907</v>
      </c>
      <c r="N99" s="4116">
        <v>1</v>
      </c>
      <c r="O99" s="4118">
        <v>69560000</v>
      </c>
      <c r="P99" s="4120" t="s">
        <v>911</v>
      </c>
      <c r="Q99" s="995" t="s">
        <v>912</v>
      </c>
      <c r="R99" s="2498" t="s">
        <v>913</v>
      </c>
      <c r="S99" s="912">
        <v>64560000</v>
      </c>
      <c r="T99" s="2490" t="s">
        <v>61</v>
      </c>
      <c r="U99" s="2485" t="s">
        <v>357</v>
      </c>
      <c r="V99" s="4111">
        <v>454</v>
      </c>
      <c r="W99" s="4111">
        <v>455</v>
      </c>
      <c r="X99" s="4111">
        <v>0</v>
      </c>
      <c r="Y99" s="4111">
        <v>0</v>
      </c>
      <c r="Z99" s="4111">
        <v>0</v>
      </c>
      <c r="AA99" s="4111">
        <v>0</v>
      </c>
      <c r="AB99" s="4111">
        <f>+V99+W99</f>
        <v>909</v>
      </c>
      <c r="AC99" s="4111">
        <v>0</v>
      </c>
      <c r="AD99" s="4111">
        <v>0</v>
      </c>
      <c r="AE99" s="4111">
        <v>0</v>
      </c>
      <c r="AF99" s="4111">
        <v>0</v>
      </c>
      <c r="AG99" s="4111">
        <v>0</v>
      </c>
      <c r="AH99" s="4111">
        <v>0</v>
      </c>
      <c r="AI99" s="4111">
        <v>0</v>
      </c>
      <c r="AJ99" s="4111">
        <v>0</v>
      </c>
      <c r="AK99" s="4111">
        <f>+V99+W99</f>
        <v>909</v>
      </c>
      <c r="AL99" s="4124">
        <v>43466</v>
      </c>
      <c r="AM99" s="4124">
        <v>43617</v>
      </c>
      <c r="AN99" s="4111" t="s">
        <v>751</v>
      </c>
      <c r="AT99" s="884"/>
      <c r="AU99" s="884"/>
      <c r="AV99" s="884"/>
      <c r="AW99" s="884"/>
      <c r="AX99" s="884"/>
      <c r="AY99" s="884"/>
      <c r="AZ99" s="884"/>
      <c r="BA99" s="884"/>
      <c r="BB99" s="884"/>
      <c r="BC99" s="884"/>
      <c r="BD99" s="884"/>
      <c r="BE99" s="884"/>
      <c r="BF99" s="884"/>
      <c r="BG99" s="884"/>
      <c r="BH99" s="884"/>
      <c r="BI99" s="884"/>
      <c r="BJ99" s="884"/>
      <c r="BK99" s="884"/>
      <c r="BL99" s="884"/>
      <c r="BM99" s="884"/>
      <c r="BN99" s="884"/>
      <c r="BO99" s="884"/>
      <c r="BP99" s="884"/>
      <c r="BQ99" s="884"/>
      <c r="BR99" s="884"/>
      <c r="BS99" s="884"/>
      <c r="BT99" s="884"/>
      <c r="BU99" s="884"/>
      <c r="BV99" s="884"/>
      <c r="BW99" s="884"/>
      <c r="BX99" s="884"/>
      <c r="BY99" s="884"/>
      <c r="BZ99" s="884"/>
      <c r="CA99" s="884"/>
      <c r="CB99" s="884"/>
      <c r="CC99" s="884"/>
      <c r="CD99" s="884"/>
      <c r="CE99" s="884"/>
      <c r="CF99" s="884"/>
      <c r="CG99" s="884"/>
      <c r="CH99" s="884"/>
      <c r="CI99" s="884"/>
      <c r="CJ99" s="884"/>
      <c r="CK99" s="884"/>
      <c r="CL99" s="884"/>
      <c r="CM99" s="884"/>
      <c r="CN99" s="884"/>
      <c r="CO99" s="884"/>
      <c r="CP99" s="884"/>
      <c r="CQ99" s="884"/>
      <c r="CR99" s="884"/>
      <c r="CS99" s="884"/>
      <c r="CT99" s="884"/>
      <c r="CU99" s="884"/>
      <c r="CV99" s="884"/>
      <c r="CW99" s="884"/>
      <c r="CX99" s="884"/>
      <c r="CY99" s="884"/>
      <c r="CZ99" s="884"/>
      <c r="DA99" s="884"/>
      <c r="DB99" s="884"/>
      <c r="DC99" s="884"/>
      <c r="DD99" s="884"/>
      <c r="DE99" s="884"/>
      <c r="DF99" s="884"/>
      <c r="DG99" s="884"/>
      <c r="DH99" s="884"/>
      <c r="DI99" s="884"/>
      <c r="DJ99" s="884"/>
      <c r="DK99" s="884"/>
      <c r="DL99" s="884"/>
      <c r="DM99" s="884"/>
      <c r="DN99" s="884"/>
      <c r="DO99" s="884"/>
      <c r="DP99" s="884"/>
      <c r="DQ99" s="884"/>
      <c r="DR99" s="884"/>
      <c r="DS99" s="884"/>
      <c r="DT99" s="884"/>
      <c r="DU99" s="884"/>
      <c r="DV99" s="884"/>
      <c r="DW99" s="884"/>
      <c r="DX99" s="884"/>
      <c r="DY99" s="884"/>
      <c r="DZ99" s="884"/>
      <c r="EA99" s="884"/>
      <c r="EB99" s="884"/>
      <c r="EC99" s="884"/>
      <c r="ED99" s="884"/>
      <c r="EE99" s="884"/>
      <c r="EF99" s="884"/>
      <c r="EG99" s="884"/>
      <c r="EH99" s="884"/>
      <c r="EI99" s="884"/>
      <c r="EJ99" s="884"/>
      <c r="EK99" s="884"/>
      <c r="EL99" s="884"/>
      <c r="EM99" s="884"/>
      <c r="EN99" s="884"/>
      <c r="EO99" s="884"/>
      <c r="EP99" s="884"/>
      <c r="EQ99" s="884"/>
      <c r="ER99" s="884"/>
      <c r="ES99" s="884"/>
      <c r="ET99" s="884"/>
      <c r="EU99" s="884"/>
      <c r="EV99" s="884"/>
      <c r="EW99" s="884"/>
      <c r="EX99" s="884"/>
      <c r="EY99" s="884"/>
      <c r="EZ99" s="884"/>
      <c r="FA99" s="884"/>
      <c r="FB99" s="884"/>
      <c r="FC99" s="884"/>
      <c r="FD99" s="884"/>
      <c r="FE99" s="884"/>
      <c r="FF99" s="884"/>
      <c r="FG99" s="884"/>
      <c r="FH99" s="884"/>
      <c r="FI99" s="884"/>
      <c r="FJ99" s="884"/>
      <c r="FK99" s="884"/>
      <c r="FL99" s="884"/>
      <c r="FM99" s="884"/>
      <c r="FN99" s="884"/>
      <c r="FO99" s="884"/>
      <c r="FP99" s="884"/>
      <c r="FQ99" s="884"/>
      <c r="FR99" s="884"/>
      <c r="FS99" s="884"/>
      <c r="FT99" s="884"/>
      <c r="FU99" s="884"/>
      <c r="FV99" s="884"/>
      <c r="FW99" s="884"/>
      <c r="FX99" s="884"/>
      <c r="FY99" s="884"/>
      <c r="FZ99" s="884"/>
      <c r="GA99" s="884"/>
      <c r="GB99" s="884"/>
      <c r="GC99" s="884"/>
      <c r="GD99" s="884"/>
      <c r="GE99" s="884"/>
      <c r="GF99" s="884"/>
      <c r="GG99" s="884"/>
      <c r="GH99" s="884"/>
      <c r="GI99" s="884"/>
      <c r="GJ99" s="884"/>
      <c r="GK99" s="884"/>
      <c r="GL99" s="884"/>
      <c r="GM99" s="884"/>
      <c r="GN99" s="884"/>
      <c r="GO99" s="884"/>
      <c r="GP99" s="884"/>
      <c r="GQ99" s="884"/>
      <c r="GR99" s="884"/>
      <c r="GS99" s="884"/>
      <c r="GT99" s="884"/>
      <c r="GU99" s="884"/>
      <c r="GV99" s="884"/>
      <c r="GW99" s="884"/>
      <c r="GX99" s="884"/>
      <c r="GY99" s="884"/>
      <c r="GZ99" s="884"/>
      <c r="HA99" s="884"/>
      <c r="HB99" s="884"/>
      <c r="HC99" s="884"/>
      <c r="HD99" s="884"/>
      <c r="HE99" s="884"/>
      <c r="HF99" s="884"/>
      <c r="HG99" s="884"/>
      <c r="HH99" s="884"/>
      <c r="HI99" s="884"/>
      <c r="HJ99" s="884"/>
      <c r="HK99" s="884"/>
      <c r="HL99" s="884"/>
      <c r="HM99" s="884"/>
      <c r="HN99" s="884"/>
      <c r="HO99" s="884"/>
      <c r="HP99" s="884"/>
      <c r="HQ99" s="884"/>
      <c r="HR99" s="884"/>
      <c r="HS99" s="884"/>
      <c r="HT99" s="884"/>
      <c r="HU99" s="884"/>
      <c r="HV99" s="884"/>
      <c r="HW99" s="884"/>
      <c r="HX99" s="884"/>
      <c r="HY99" s="884"/>
      <c r="HZ99" s="884"/>
      <c r="IA99" s="884"/>
      <c r="IB99" s="884"/>
      <c r="IC99" s="884"/>
      <c r="ID99" s="884"/>
      <c r="IE99" s="884"/>
      <c r="IF99" s="884"/>
      <c r="IG99" s="884"/>
      <c r="IH99" s="884"/>
      <c r="II99" s="884"/>
      <c r="IJ99" s="884"/>
      <c r="IK99" s="884"/>
      <c r="IL99" s="884"/>
      <c r="IM99" s="884"/>
      <c r="IN99" s="884"/>
      <c r="IO99" s="884"/>
      <c r="IP99" s="884"/>
      <c r="IQ99" s="884"/>
      <c r="IR99" s="884"/>
      <c r="IS99" s="884"/>
      <c r="IT99" s="884"/>
      <c r="IU99" s="884"/>
      <c r="IV99" s="884"/>
      <c r="IW99" s="884"/>
      <c r="IX99" s="884"/>
      <c r="IY99" s="884"/>
      <c r="IZ99" s="884"/>
      <c r="JA99" s="884"/>
      <c r="JB99" s="884"/>
      <c r="JC99" s="884"/>
      <c r="JD99" s="884"/>
      <c r="JE99" s="884"/>
      <c r="JF99" s="884"/>
      <c r="JG99" s="884"/>
      <c r="JH99" s="884"/>
      <c r="JI99" s="884"/>
      <c r="JJ99" s="884"/>
      <c r="JK99" s="884"/>
      <c r="JL99" s="884"/>
      <c r="JM99" s="884"/>
      <c r="JN99" s="884"/>
      <c r="JO99" s="884"/>
      <c r="JP99" s="884"/>
      <c r="JQ99" s="884"/>
      <c r="JR99" s="884"/>
      <c r="JS99" s="884"/>
      <c r="JT99" s="884"/>
      <c r="JU99" s="884"/>
      <c r="JV99" s="884"/>
      <c r="JW99" s="884"/>
    </row>
    <row r="100" spans="1:283" s="883" customFormat="1" ht="75" customHeight="1" x14ac:dyDescent="0.2">
      <c r="A100" s="4108"/>
      <c r="B100" s="971"/>
      <c r="C100" s="985"/>
      <c r="D100" s="985"/>
      <c r="E100" s="4109"/>
      <c r="F100" s="4110"/>
      <c r="G100" s="4127"/>
      <c r="H100" s="4130"/>
      <c r="I100" s="4130"/>
      <c r="J100" s="4112"/>
      <c r="K100" s="4127"/>
      <c r="L100" s="4112"/>
      <c r="M100" s="4130"/>
      <c r="N100" s="4117"/>
      <c r="O100" s="4119"/>
      <c r="P100" s="4121"/>
      <c r="Q100" s="995" t="s">
        <v>914</v>
      </c>
      <c r="R100" s="2498" t="s">
        <v>915</v>
      </c>
      <c r="S100" s="912">
        <v>5000000</v>
      </c>
      <c r="T100" s="2490" t="s">
        <v>61</v>
      </c>
      <c r="U100" s="2485" t="s">
        <v>357</v>
      </c>
      <c r="V100" s="4112"/>
      <c r="W100" s="4112"/>
      <c r="X100" s="4112"/>
      <c r="Y100" s="4112"/>
      <c r="Z100" s="4112"/>
      <c r="AA100" s="4112"/>
      <c r="AB100" s="4112"/>
      <c r="AC100" s="4112"/>
      <c r="AD100" s="4112"/>
      <c r="AE100" s="4112"/>
      <c r="AF100" s="4112"/>
      <c r="AG100" s="4112"/>
      <c r="AH100" s="4112"/>
      <c r="AI100" s="4112"/>
      <c r="AJ100" s="4112"/>
      <c r="AK100" s="4112"/>
      <c r="AL100" s="4112"/>
      <c r="AM100" s="4112"/>
      <c r="AN100" s="4112"/>
      <c r="AT100" s="884"/>
      <c r="AU100" s="884"/>
      <c r="AV100" s="884"/>
      <c r="AW100" s="884"/>
      <c r="AX100" s="884"/>
      <c r="AY100" s="884"/>
      <c r="AZ100" s="884"/>
      <c r="BA100" s="884"/>
      <c r="BB100" s="884"/>
      <c r="BC100" s="884"/>
      <c r="BD100" s="884"/>
      <c r="BE100" s="884"/>
      <c r="BF100" s="884"/>
      <c r="BG100" s="884"/>
      <c r="BH100" s="884"/>
      <c r="BI100" s="884"/>
      <c r="BJ100" s="884"/>
      <c r="BK100" s="884"/>
      <c r="BL100" s="884"/>
      <c r="BM100" s="884"/>
      <c r="BN100" s="884"/>
      <c r="BO100" s="884"/>
      <c r="BP100" s="884"/>
      <c r="BQ100" s="884"/>
      <c r="BR100" s="884"/>
      <c r="BS100" s="884"/>
      <c r="BT100" s="884"/>
      <c r="BU100" s="884"/>
      <c r="BV100" s="884"/>
      <c r="BW100" s="884"/>
      <c r="BX100" s="884"/>
      <c r="BY100" s="884"/>
      <c r="BZ100" s="884"/>
      <c r="CA100" s="884"/>
      <c r="CB100" s="884"/>
      <c r="CC100" s="884"/>
      <c r="CD100" s="884"/>
      <c r="CE100" s="884"/>
      <c r="CF100" s="884"/>
      <c r="CG100" s="884"/>
      <c r="CH100" s="884"/>
      <c r="CI100" s="884"/>
      <c r="CJ100" s="884"/>
      <c r="CK100" s="884"/>
      <c r="CL100" s="884"/>
      <c r="CM100" s="884"/>
      <c r="CN100" s="884"/>
      <c r="CO100" s="884"/>
      <c r="CP100" s="884"/>
      <c r="CQ100" s="884"/>
      <c r="CR100" s="884"/>
      <c r="CS100" s="884"/>
      <c r="CT100" s="884"/>
      <c r="CU100" s="884"/>
      <c r="CV100" s="884"/>
      <c r="CW100" s="884"/>
      <c r="CX100" s="884"/>
      <c r="CY100" s="884"/>
      <c r="CZ100" s="884"/>
      <c r="DA100" s="884"/>
      <c r="DB100" s="884"/>
      <c r="DC100" s="884"/>
      <c r="DD100" s="884"/>
      <c r="DE100" s="884"/>
      <c r="DF100" s="884"/>
      <c r="DG100" s="884"/>
      <c r="DH100" s="884"/>
      <c r="DI100" s="884"/>
      <c r="DJ100" s="884"/>
      <c r="DK100" s="884"/>
      <c r="DL100" s="884"/>
      <c r="DM100" s="884"/>
      <c r="DN100" s="884"/>
      <c r="DO100" s="884"/>
      <c r="DP100" s="884"/>
      <c r="DQ100" s="884"/>
      <c r="DR100" s="884"/>
      <c r="DS100" s="884"/>
      <c r="DT100" s="884"/>
      <c r="DU100" s="884"/>
      <c r="DV100" s="884"/>
      <c r="DW100" s="884"/>
      <c r="DX100" s="884"/>
      <c r="DY100" s="884"/>
      <c r="DZ100" s="884"/>
      <c r="EA100" s="884"/>
      <c r="EB100" s="884"/>
      <c r="EC100" s="884"/>
      <c r="ED100" s="884"/>
      <c r="EE100" s="884"/>
      <c r="EF100" s="884"/>
      <c r="EG100" s="884"/>
      <c r="EH100" s="884"/>
      <c r="EI100" s="884"/>
      <c r="EJ100" s="884"/>
      <c r="EK100" s="884"/>
      <c r="EL100" s="884"/>
      <c r="EM100" s="884"/>
      <c r="EN100" s="884"/>
      <c r="EO100" s="884"/>
      <c r="EP100" s="884"/>
      <c r="EQ100" s="884"/>
      <c r="ER100" s="884"/>
      <c r="ES100" s="884"/>
      <c r="ET100" s="884"/>
      <c r="EU100" s="884"/>
      <c r="EV100" s="884"/>
      <c r="EW100" s="884"/>
      <c r="EX100" s="884"/>
      <c r="EY100" s="884"/>
      <c r="EZ100" s="884"/>
      <c r="FA100" s="884"/>
      <c r="FB100" s="884"/>
      <c r="FC100" s="884"/>
      <c r="FD100" s="884"/>
      <c r="FE100" s="884"/>
      <c r="FF100" s="884"/>
      <c r="FG100" s="884"/>
      <c r="FH100" s="884"/>
      <c r="FI100" s="884"/>
      <c r="FJ100" s="884"/>
      <c r="FK100" s="884"/>
      <c r="FL100" s="884"/>
      <c r="FM100" s="884"/>
      <c r="FN100" s="884"/>
      <c r="FO100" s="884"/>
      <c r="FP100" s="884"/>
      <c r="FQ100" s="884"/>
      <c r="FR100" s="884"/>
      <c r="FS100" s="884"/>
      <c r="FT100" s="884"/>
      <c r="FU100" s="884"/>
      <c r="FV100" s="884"/>
      <c r="FW100" s="884"/>
      <c r="FX100" s="884"/>
      <c r="FY100" s="884"/>
      <c r="FZ100" s="884"/>
      <c r="GA100" s="884"/>
      <c r="GB100" s="884"/>
      <c r="GC100" s="884"/>
      <c r="GD100" s="884"/>
      <c r="GE100" s="884"/>
      <c r="GF100" s="884"/>
      <c r="GG100" s="884"/>
      <c r="GH100" s="884"/>
      <c r="GI100" s="884"/>
      <c r="GJ100" s="884"/>
      <c r="GK100" s="884"/>
      <c r="GL100" s="884"/>
      <c r="GM100" s="884"/>
      <c r="GN100" s="884"/>
      <c r="GO100" s="884"/>
      <c r="GP100" s="884"/>
      <c r="GQ100" s="884"/>
      <c r="GR100" s="884"/>
      <c r="GS100" s="884"/>
      <c r="GT100" s="884"/>
      <c r="GU100" s="884"/>
      <c r="GV100" s="884"/>
      <c r="GW100" s="884"/>
      <c r="GX100" s="884"/>
      <c r="GY100" s="884"/>
      <c r="GZ100" s="884"/>
      <c r="HA100" s="884"/>
      <c r="HB100" s="884"/>
      <c r="HC100" s="884"/>
      <c r="HD100" s="884"/>
      <c r="HE100" s="884"/>
      <c r="HF100" s="884"/>
      <c r="HG100" s="884"/>
      <c r="HH100" s="884"/>
      <c r="HI100" s="884"/>
      <c r="HJ100" s="884"/>
      <c r="HK100" s="884"/>
      <c r="HL100" s="884"/>
      <c r="HM100" s="884"/>
      <c r="HN100" s="884"/>
      <c r="HO100" s="884"/>
      <c r="HP100" s="884"/>
      <c r="HQ100" s="884"/>
      <c r="HR100" s="884"/>
      <c r="HS100" s="884"/>
      <c r="HT100" s="884"/>
      <c r="HU100" s="884"/>
      <c r="HV100" s="884"/>
      <c r="HW100" s="884"/>
      <c r="HX100" s="884"/>
      <c r="HY100" s="884"/>
      <c r="HZ100" s="884"/>
      <c r="IA100" s="884"/>
      <c r="IB100" s="884"/>
      <c r="IC100" s="884"/>
      <c r="ID100" s="884"/>
      <c r="IE100" s="884"/>
      <c r="IF100" s="884"/>
      <c r="IG100" s="884"/>
      <c r="IH100" s="884"/>
      <c r="II100" s="884"/>
      <c r="IJ100" s="884"/>
      <c r="IK100" s="884"/>
      <c r="IL100" s="884"/>
      <c r="IM100" s="884"/>
      <c r="IN100" s="884"/>
      <c r="IO100" s="884"/>
      <c r="IP100" s="884"/>
      <c r="IQ100" s="884"/>
      <c r="IR100" s="884"/>
      <c r="IS100" s="884"/>
      <c r="IT100" s="884"/>
      <c r="IU100" s="884"/>
      <c r="IV100" s="884"/>
      <c r="IW100" s="884"/>
      <c r="IX100" s="884"/>
      <c r="IY100" s="884"/>
      <c r="IZ100" s="884"/>
      <c r="JA100" s="884"/>
      <c r="JB100" s="884"/>
      <c r="JC100" s="884"/>
      <c r="JD100" s="884"/>
      <c r="JE100" s="884"/>
      <c r="JF100" s="884"/>
      <c r="JG100" s="884"/>
      <c r="JH100" s="884"/>
      <c r="JI100" s="884"/>
      <c r="JJ100" s="884"/>
      <c r="JK100" s="884"/>
      <c r="JL100" s="884"/>
      <c r="JM100" s="884"/>
      <c r="JN100" s="884"/>
      <c r="JO100" s="884"/>
      <c r="JP100" s="884"/>
      <c r="JQ100" s="884"/>
      <c r="JR100" s="884"/>
      <c r="JS100" s="884"/>
      <c r="JT100" s="884"/>
      <c r="JU100" s="884"/>
      <c r="JV100" s="884"/>
      <c r="JW100" s="884"/>
    </row>
    <row r="101" spans="1:283" s="883" customFormat="1" ht="45" customHeight="1" x14ac:dyDescent="0.2">
      <c r="A101" s="4108"/>
      <c r="B101" s="971"/>
      <c r="C101" s="985"/>
      <c r="D101" s="985"/>
      <c r="E101" s="4109"/>
      <c r="F101" s="4110"/>
      <c r="G101" s="4125">
        <v>195</v>
      </c>
      <c r="H101" s="4128" t="s">
        <v>916</v>
      </c>
      <c r="I101" s="4128" t="s">
        <v>917</v>
      </c>
      <c r="J101" s="4111">
        <v>1</v>
      </c>
      <c r="K101" s="4125" t="s">
        <v>918</v>
      </c>
      <c r="L101" s="4111" t="s">
        <v>919</v>
      </c>
      <c r="M101" s="4128" t="s">
        <v>916</v>
      </c>
      <c r="N101" s="4116">
        <v>1</v>
      </c>
      <c r="O101" s="4118">
        <v>100000000</v>
      </c>
      <c r="P101" s="4120" t="s">
        <v>920</v>
      </c>
      <c r="Q101" s="4128" t="s">
        <v>921</v>
      </c>
      <c r="R101" s="996" t="s">
        <v>922</v>
      </c>
      <c r="S101" s="912">
        <v>40000000</v>
      </c>
      <c r="T101" s="2490" t="s">
        <v>61</v>
      </c>
      <c r="U101" s="2485" t="s">
        <v>357</v>
      </c>
      <c r="V101" s="4111">
        <v>3698</v>
      </c>
      <c r="W101" s="4111">
        <v>3552</v>
      </c>
      <c r="X101" s="4111">
        <v>0</v>
      </c>
      <c r="Y101" s="4111">
        <v>0</v>
      </c>
      <c r="Z101" s="4111">
        <v>0</v>
      </c>
      <c r="AA101" s="4111">
        <v>0</v>
      </c>
      <c r="AB101" s="4111">
        <v>0</v>
      </c>
      <c r="AC101" s="4111">
        <f>+V101+W101</f>
        <v>7250</v>
      </c>
      <c r="AD101" s="4111">
        <v>0</v>
      </c>
      <c r="AE101" s="4111">
        <v>0</v>
      </c>
      <c r="AF101" s="4111">
        <v>0</v>
      </c>
      <c r="AG101" s="4111">
        <v>0</v>
      </c>
      <c r="AH101" s="4111">
        <v>0</v>
      </c>
      <c r="AI101" s="4111">
        <v>0</v>
      </c>
      <c r="AJ101" s="4111">
        <v>0</v>
      </c>
      <c r="AK101" s="4111">
        <f>+V101+W101</f>
        <v>7250</v>
      </c>
      <c r="AL101" s="4124">
        <v>43466</v>
      </c>
      <c r="AM101" s="4124">
        <v>43617</v>
      </c>
      <c r="AN101" s="4111" t="s">
        <v>751</v>
      </c>
      <c r="AT101" s="884"/>
      <c r="AU101" s="884"/>
      <c r="AV101" s="884"/>
      <c r="AW101" s="884"/>
      <c r="AX101" s="884"/>
      <c r="AY101" s="884"/>
      <c r="AZ101" s="884"/>
      <c r="BA101" s="884"/>
      <c r="BB101" s="884"/>
      <c r="BC101" s="884"/>
      <c r="BD101" s="884"/>
      <c r="BE101" s="884"/>
      <c r="BF101" s="884"/>
      <c r="BG101" s="884"/>
      <c r="BH101" s="884"/>
      <c r="BI101" s="884"/>
      <c r="BJ101" s="884"/>
      <c r="BK101" s="884"/>
      <c r="BL101" s="884"/>
      <c r="BM101" s="884"/>
      <c r="BN101" s="884"/>
      <c r="BO101" s="884"/>
      <c r="BP101" s="884"/>
      <c r="BQ101" s="884"/>
      <c r="BR101" s="884"/>
      <c r="BS101" s="884"/>
      <c r="BT101" s="884"/>
      <c r="BU101" s="884"/>
      <c r="BV101" s="884"/>
      <c r="BW101" s="884"/>
      <c r="BX101" s="884"/>
      <c r="BY101" s="884"/>
      <c r="BZ101" s="884"/>
      <c r="CA101" s="884"/>
      <c r="CB101" s="884"/>
      <c r="CC101" s="884"/>
      <c r="CD101" s="884"/>
      <c r="CE101" s="884"/>
      <c r="CF101" s="884"/>
      <c r="CG101" s="884"/>
      <c r="CH101" s="884"/>
      <c r="CI101" s="884"/>
      <c r="CJ101" s="884"/>
      <c r="CK101" s="884"/>
      <c r="CL101" s="884"/>
      <c r="CM101" s="884"/>
      <c r="CN101" s="884"/>
      <c r="CO101" s="884"/>
      <c r="CP101" s="884"/>
      <c r="CQ101" s="884"/>
      <c r="CR101" s="884"/>
      <c r="CS101" s="884"/>
      <c r="CT101" s="884"/>
      <c r="CU101" s="884"/>
      <c r="CV101" s="884"/>
      <c r="CW101" s="884"/>
      <c r="CX101" s="884"/>
      <c r="CY101" s="884"/>
      <c r="CZ101" s="884"/>
      <c r="DA101" s="884"/>
      <c r="DB101" s="884"/>
      <c r="DC101" s="884"/>
      <c r="DD101" s="884"/>
      <c r="DE101" s="884"/>
      <c r="DF101" s="884"/>
      <c r="DG101" s="884"/>
      <c r="DH101" s="884"/>
      <c r="DI101" s="884"/>
      <c r="DJ101" s="884"/>
      <c r="DK101" s="884"/>
      <c r="DL101" s="884"/>
      <c r="DM101" s="884"/>
      <c r="DN101" s="884"/>
      <c r="DO101" s="884"/>
      <c r="DP101" s="884"/>
      <c r="DQ101" s="884"/>
      <c r="DR101" s="884"/>
      <c r="DS101" s="884"/>
      <c r="DT101" s="884"/>
      <c r="DU101" s="884"/>
      <c r="DV101" s="884"/>
      <c r="DW101" s="884"/>
      <c r="DX101" s="884"/>
      <c r="DY101" s="884"/>
      <c r="DZ101" s="884"/>
      <c r="EA101" s="884"/>
      <c r="EB101" s="884"/>
      <c r="EC101" s="884"/>
      <c r="ED101" s="884"/>
      <c r="EE101" s="884"/>
      <c r="EF101" s="884"/>
      <c r="EG101" s="884"/>
      <c r="EH101" s="884"/>
      <c r="EI101" s="884"/>
      <c r="EJ101" s="884"/>
      <c r="EK101" s="884"/>
      <c r="EL101" s="884"/>
      <c r="EM101" s="884"/>
      <c r="EN101" s="884"/>
      <c r="EO101" s="884"/>
      <c r="EP101" s="884"/>
      <c r="EQ101" s="884"/>
      <c r="ER101" s="884"/>
      <c r="ES101" s="884"/>
      <c r="ET101" s="884"/>
      <c r="EU101" s="884"/>
      <c r="EV101" s="884"/>
      <c r="EW101" s="884"/>
      <c r="EX101" s="884"/>
      <c r="EY101" s="884"/>
      <c r="EZ101" s="884"/>
      <c r="FA101" s="884"/>
      <c r="FB101" s="884"/>
      <c r="FC101" s="884"/>
      <c r="FD101" s="884"/>
      <c r="FE101" s="884"/>
      <c r="FF101" s="884"/>
      <c r="FG101" s="884"/>
      <c r="FH101" s="884"/>
      <c r="FI101" s="884"/>
      <c r="FJ101" s="884"/>
      <c r="FK101" s="884"/>
      <c r="FL101" s="884"/>
      <c r="FM101" s="884"/>
      <c r="FN101" s="884"/>
      <c r="FO101" s="884"/>
      <c r="FP101" s="884"/>
      <c r="FQ101" s="884"/>
      <c r="FR101" s="884"/>
      <c r="FS101" s="884"/>
      <c r="FT101" s="884"/>
      <c r="FU101" s="884"/>
      <c r="FV101" s="884"/>
      <c r="FW101" s="884"/>
      <c r="FX101" s="884"/>
      <c r="FY101" s="884"/>
      <c r="FZ101" s="884"/>
      <c r="GA101" s="884"/>
      <c r="GB101" s="884"/>
      <c r="GC101" s="884"/>
      <c r="GD101" s="884"/>
      <c r="GE101" s="884"/>
      <c r="GF101" s="884"/>
      <c r="GG101" s="884"/>
      <c r="GH101" s="884"/>
      <c r="GI101" s="884"/>
      <c r="GJ101" s="884"/>
      <c r="GK101" s="884"/>
      <c r="GL101" s="884"/>
      <c r="GM101" s="884"/>
      <c r="GN101" s="884"/>
      <c r="GO101" s="884"/>
      <c r="GP101" s="884"/>
      <c r="GQ101" s="884"/>
      <c r="GR101" s="884"/>
      <c r="GS101" s="884"/>
      <c r="GT101" s="884"/>
      <c r="GU101" s="884"/>
      <c r="GV101" s="884"/>
      <c r="GW101" s="884"/>
      <c r="GX101" s="884"/>
      <c r="GY101" s="884"/>
      <c r="GZ101" s="884"/>
      <c r="HA101" s="884"/>
      <c r="HB101" s="884"/>
      <c r="HC101" s="884"/>
      <c r="HD101" s="884"/>
      <c r="HE101" s="884"/>
      <c r="HF101" s="884"/>
      <c r="HG101" s="884"/>
      <c r="HH101" s="884"/>
      <c r="HI101" s="884"/>
      <c r="HJ101" s="884"/>
      <c r="HK101" s="884"/>
      <c r="HL101" s="884"/>
      <c r="HM101" s="884"/>
      <c r="HN101" s="884"/>
      <c r="HO101" s="884"/>
      <c r="HP101" s="884"/>
      <c r="HQ101" s="884"/>
      <c r="HR101" s="884"/>
      <c r="HS101" s="884"/>
      <c r="HT101" s="884"/>
      <c r="HU101" s="884"/>
      <c r="HV101" s="884"/>
      <c r="HW101" s="884"/>
      <c r="HX101" s="884"/>
      <c r="HY101" s="884"/>
      <c r="HZ101" s="884"/>
      <c r="IA101" s="884"/>
      <c r="IB101" s="884"/>
      <c r="IC101" s="884"/>
      <c r="ID101" s="884"/>
      <c r="IE101" s="884"/>
      <c r="IF101" s="884"/>
      <c r="IG101" s="884"/>
      <c r="IH101" s="884"/>
      <c r="II101" s="884"/>
      <c r="IJ101" s="884"/>
      <c r="IK101" s="884"/>
      <c r="IL101" s="884"/>
      <c r="IM101" s="884"/>
      <c r="IN101" s="884"/>
      <c r="IO101" s="884"/>
      <c r="IP101" s="884"/>
      <c r="IQ101" s="884"/>
      <c r="IR101" s="884"/>
      <c r="IS101" s="884"/>
      <c r="IT101" s="884"/>
      <c r="IU101" s="884"/>
      <c r="IV101" s="884"/>
      <c r="IW101" s="884"/>
      <c r="IX101" s="884"/>
      <c r="IY101" s="884"/>
      <c r="IZ101" s="884"/>
      <c r="JA101" s="884"/>
      <c r="JB101" s="884"/>
      <c r="JC101" s="884"/>
      <c r="JD101" s="884"/>
      <c r="JE101" s="884"/>
      <c r="JF101" s="884"/>
      <c r="JG101" s="884"/>
      <c r="JH101" s="884"/>
      <c r="JI101" s="884"/>
      <c r="JJ101" s="884"/>
      <c r="JK101" s="884"/>
      <c r="JL101" s="884"/>
      <c r="JM101" s="884"/>
      <c r="JN101" s="884"/>
      <c r="JO101" s="884"/>
      <c r="JP101" s="884"/>
      <c r="JQ101" s="884"/>
      <c r="JR101" s="884"/>
      <c r="JS101" s="884"/>
      <c r="JT101" s="884"/>
      <c r="JU101" s="884"/>
      <c r="JV101" s="884"/>
      <c r="JW101" s="884"/>
    </row>
    <row r="102" spans="1:283" s="883" customFormat="1" ht="27" customHeight="1" x14ac:dyDescent="0.2">
      <c r="A102" s="4108"/>
      <c r="B102" s="971"/>
      <c r="C102" s="985"/>
      <c r="D102" s="985"/>
      <c r="E102" s="4109"/>
      <c r="F102" s="4110"/>
      <c r="G102" s="4126"/>
      <c r="H102" s="4129"/>
      <c r="I102" s="4129"/>
      <c r="J102" s="4131"/>
      <c r="K102" s="4126"/>
      <c r="L102" s="4131"/>
      <c r="M102" s="4129"/>
      <c r="N102" s="4132"/>
      <c r="O102" s="4133"/>
      <c r="P102" s="4134"/>
      <c r="Q102" s="4130"/>
      <c r="R102" s="996" t="s">
        <v>923</v>
      </c>
      <c r="S102" s="912">
        <v>55000000</v>
      </c>
      <c r="T102" s="2490" t="s">
        <v>61</v>
      </c>
      <c r="U102" s="2485" t="s">
        <v>357</v>
      </c>
      <c r="V102" s="4131"/>
      <c r="W102" s="4131"/>
      <c r="X102" s="4131"/>
      <c r="Y102" s="4131"/>
      <c r="Z102" s="4131"/>
      <c r="AA102" s="4131"/>
      <c r="AB102" s="4131"/>
      <c r="AC102" s="4131"/>
      <c r="AD102" s="4131"/>
      <c r="AE102" s="4131"/>
      <c r="AF102" s="4131"/>
      <c r="AG102" s="4131"/>
      <c r="AH102" s="4131"/>
      <c r="AI102" s="4131"/>
      <c r="AJ102" s="4131"/>
      <c r="AK102" s="4131"/>
      <c r="AL102" s="4131"/>
      <c r="AM102" s="4131"/>
      <c r="AN102" s="4131"/>
      <c r="AT102" s="884"/>
      <c r="AU102" s="884"/>
      <c r="AV102" s="884"/>
      <c r="AW102" s="884"/>
      <c r="AX102" s="884"/>
      <c r="AY102" s="884"/>
      <c r="AZ102" s="884"/>
      <c r="BA102" s="884"/>
      <c r="BB102" s="884"/>
      <c r="BC102" s="884"/>
      <c r="BD102" s="884"/>
      <c r="BE102" s="884"/>
      <c r="BF102" s="884"/>
      <c r="BG102" s="884"/>
      <c r="BH102" s="884"/>
      <c r="BI102" s="884"/>
      <c r="BJ102" s="884"/>
      <c r="BK102" s="884"/>
      <c r="BL102" s="884"/>
      <c r="BM102" s="884"/>
      <c r="BN102" s="884"/>
      <c r="BO102" s="884"/>
      <c r="BP102" s="884"/>
      <c r="BQ102" s="884"/>
      <c r="BR102" s="884"/>
      <c r="BS102" s="884"/>
      <c r="BT102" s="884"/>
      <c r="BU102" s="884"/>
      <c r="BV102" s="884"/>
      <c r="BW102" s="884"/>
      <c r="BX102" s="884"/>
      <c r="BY102" s="884"/>
      <c r="BZ102" s="884"/>
      <c r="CA102" s="884"/>
      <c r="CB102" s="884"/>
      <c r="CC102" s="884"/>
      <c r="CD102" s="884"/>
      <c r="CE102" s="884"/>
      <c r="CF102" s="884"/>
      <c r="CG102" s="884"/>
      <c r="CH102" s="884"/>
      <c r="CI102" s="884"/>
      <c r="CJ102" s="884"/>
      <c r="CK102" s="884"/>
      <c r="CL102" s="884"/>
      <c r="CM102" s="884"/>
      <c r="CN102" s="884"/>
      <c r="CO102" s="884"/>
      <c r="CP102" s="884"/>
      <c r="CQ102" s="884"/>
      <c r="CR102" s="884"/>
      <c r="CS102" s="884"/>
      <c r="CT102" s="884"/>
      <c r="CU102" s="884"/>
      <c r="CV102" s="884"/>
      <c r="CW102" s="884"/>
      <c r="CX102" s="884"/>
      <c r="CY102" s="884"/>
      <c r="CZ102" s="884"/>
      <c r="DA102" s="884"/>
      <c r="DB102" s="884"/>
      <c r="DC102" s="884"/>
      <c r="DD102" s="884"/>
      <c r="DE102" s="884"/>
      <c r="DF102" s="884"/>
      <c r="DG102" s="884"/>
      <c r="DH102" s="884"/>
      <c r="DI102" s="884"/>
      <c r="DJ102" s="884"/>
      <c r="DK102" s="884"/>
      <c r="DL102" s="884"/>
      <c r="DM102" s="884"/>
      <c r="DN102" s="884"/>
      <c r="DO102" s="884"/>
      <c r="DP102" s="884"/>
      <c r="DQ102" s="884"/>
      <c r="DR102" s="884"/>
      <c r="DS102" s="884"/>
      <c r="DT102" s="884"/>
      <c r="DU102" s="884"/>
      <c r="DV102" s="884"/>
      <c r="DW102" s="884"/>
      <c r="DX102" s="884"/>
      <c r="DY102" s="884"/>
      <c r="DZ102" s="884"/>
      <c r="EA102" s="884"/>
      <c r="EB102" s="884"/>
      <c r="EC102" s="884"/>
      <c r="ED102" s="884"/>
      <c r="EE102" s="884"/>
      <c r="EF102" s="884"/>
      <c r="EG102" s="884"/>
      <c r="EH102" s="884"/>
      <c r="EI102" s="884"/>
      <c r="EJ102" s="884"/>
      <c r="EK102" s="884"/>
      <c r="EL102" s="884"/>
      <c r="EM102" s="884"/>
      <c r="EN102" s="884"/>
      <c r="EO102" s="884"/>
      <c r="EP102" s="884"/>
      <c r="EQ102" s="884"/>
      <c r="ER102" s="884"/>
      <c r="ES102" s="884"/>
      <c r="ET102" s="884"/>
      <c r="EU102" s="884"/>
      <c r="EV102" s="884"/>
      <c r="EW102" s="884"/>
      <c r="EX102" s="884"/>
      <c r="EY102" s="884"/>
      <c r="EZ102" s="884"/>
      <c r="FA102" s="884"/>
      <c r="FB102" s="884"/>
      <c r="FC102" s="884"/>
      <c r="FD102" s="884"/>
      <c r="FE102" s="884"/>
      <c r="FF102" s="884"/>
      <c r="FG102" s="884"/>
      <c r="FH102" s="884"/>
      <c r="FI102" s="884"/>
      <c r="FJ102" s="884"/>
      <c r="FK102" s="884"/>
      <c r="FL102" s="884"/>
      <c r="FM102" s="884"/>
      <c r="FN102" s="884"/>
      <c r="FO102" s="884"/>
      <c r="FP102" s="884"/>
      <c r="FQ102" s="884"/>
      <c r="FR102" s="884"/>
      <c r="FS102" s="884"/>
      <c r="FT102" s="884"/>
      <c r="FU102" s="884"/>
      <c r="FV102" s="884"/>
      <c r="FW102" s="884"/>
      <c r="FX102" s="884"/>
      <c r="FY102" s="884"/>
      <c r="FZ102" s="884"/>
      <c r="GA102" s="884"/>
      <c r="GB102" s="884"/>
      <c r="GC102" s="884"/>
      <c r="GD102" s="884"/>
      <c r="GE102" s="884"/>
      <c r="GF102" s="884"/>
      <c r="GG102" s="884"/>
      <c r="GH102" s="884"/>
      <c r="GI102" s="884"/>
      <c r="GJ102" s="884"/>
      <c r="GK102" s="884"/>
      <c r="GL102" s="884"/>
      <c r="GM102" s="884"/>
      <c r="GN102" s="884"/>
      <c r="GO102" s="884"/>
      <c r="GP102" s="884"/>
      <c r="GQ102" s="884"/>
      <c r="GR102" s="884"/>
      <c r="GS102" s="884"/>
      <c r="GT102" s="884"/>
      <c r="GU102" s="884"/>
      <c r="GV102" s="884"/>
      <c r="GW102" s="884"/>
      <c r="GX102" s="884"/>
      <c r="GY102" s="884"/>
      <c r="GZ102" s="884"/>
      <c r="HA102" s="884"/>
      <c r="HB102" s="884"/>
      <c r="HC102" s="884"/>
      <c r="HD102" s="884"/>
      <c r="HE102" s="884"/>
      <c r="HF102" s="884"/>
      <c r="HG102" s="884"/>
      <c r="HH102" s="884"/>
      <c r="HI102" s="884"/>
      <c r="HJ102" s="884"/>
      <c r="HK102" s="884"/>
      <c r="HL102" s="884"/>
      <c r="HM102" s="884"/>
      <c r="HN102" s="884"/>
      <c r="HO102" s="884"/>
      <c r="HP102" s="884"/>
      <c r="HQ102" s="884"/>
      <c r="HR102" s="884"/>
      <c r="HS102" s="884"/>
      <c r="HT102" s="884"/>
      <c r="HU102" s="884"/>
      <c r="HV102" s="884"/>
      <c r="HW102" s="884"/>
      <c r="HX102" s="884"/>
      <c r="HY102" s="884"/>
      <c r="HZ102" s="884"/>
      <c r="IA102" s="884"/>
      <c r="IB102" s="884"/>
      <c r="IC102" s="884"/>
      <c r="ID102" s="884"/>
      <c r="IE102" s="884"/>
      <c r="IF102" s="884"/>
      <c r="IG102" s="884"/>
      <c r="IH102" s="884"/>
      <c r="II102" s="884"/>
      <c r="IJ102" s="884"/>
      <c r="IK102" s="884"/>
      <c r="IL102" s="884"/>
      <c r="IM102" s="884"/>
      <c r="IN102" s="884"/>
      <c r="IO102" s="884"/>
      <c r="IP102" s="884"/>
      <c r="IQ102" s="884"/>
      <c r="IR102" s="884"/>
      <c r="IS102" s="884"/>
      <c r="IT102" s="884"/>
      <c r="IU102" s="884"/>
      <c r="IV102" s="884"/>
      <c r="IW102" s="884"/>
      <c r="IX102" s="884"/>
      <c r="IY102" s="884"/>
      <c r="IZ102" s="884"/>
      <c r="JA102" s="884"/>
      <c r="JB102" s="884"/>
      <c r="JC102" s="884"/>
      <c r="JD102" s="884"/>
      <c r="JE102" s="884"/>
      <c r="JF102" s="884"/>
      <c r="JG102" s="884"/>
      <c r="JH102" s="884"/>
      <c r="JI102" s="884"/>
      <c r="JJ102" s="884"/>
      <c r="JK102" s="884"/>
      <c r="JL102" s="884"/>
      <c r="JM102" s="884"/>
      <c r="JN102" s="884"/>
      <c r="JO102" s="884"/>
      <c r="JP102" s="884"/>
      <c r="JQ102" s="884"/>
      <c r="JR102" s="884"/>
      <c r="JS102" s="884"/>
      <c r="JT102" s="884"/>
      <c r="JU102" s="884"/>
      <c r="JV102" s="884"/>
      <c r="JW102" s="884"/>
    </row>
    <row r="103" spans="1:283" s="883" customFormat="1" ht="60" x14ac:dyDescent="0.2">
      <c r="A103" s="4108"/>
      <c r="B103" s="971"/>
      <c r="C103" s="985"/>
      <c r="D103" s="985"/>
      <c r="E103" s="4061"/>
      <c r="F103" s="4068"/>
      <c r="G103" s="4126"/>
      <c r="H103" s="4129"/>
      <c r="I103" s="4129"/>
      <c r="J103" s="4131"/>
      <c r="K103" s="4126"/>
      <c r="L103" s="4131"/>
      <c r="M103" s="4129"/>
      <c r="N103" s="4132"/>
      <c r="O103" s="4133"/>
      <c r="P103" s="4134"/>
      <c r="Q103" s="2493" t="s">
        <v>924</v>
      </c>
      <c r="R103" s="996" t="s">
        <v>925</v>
      </c>
      <c r="S103" s="912">
        <v>5000000</v>
      </c>
      <c r="T103" s="2490" t="s">
        <v>61</v>
      </c>
      <c r="U103" s="2485" t="s">
        <v>357</v>
      </c>
      <c r="V103" s="4131"/>
      <c r="W103" s="4131"/>
      <c r="X103" s="4131"/>
      <c r="Y103" s="4131"/>
      <c r="Z103" s="4131"/>
      <c r="AA103" s="4131"/>
      <c r="AB103" s="4131"/>
      <c r="AC103" s="4131"/>
      <c r="AD103" s="4131"/>
      <c r="AE103" s="4131"/>
      <c r="AF103" s="4131"/>
      <c r="AG103" s="4131"/>
      <c r="AH103" s="4131"/>
      <c r="AI103" s="4131"/>
      <c r="AJ103" s="4131"/>
      <c r="AK103" s="4131"/>
      <c r="AL103" s="4131"/>
      <c r="AM103" s="4131"/>
      <c r="AN103" s="4131"/>
      <c r="AT103" s="884"/>
      <c r="AU103" s="884"/>
      <c r="AV103" s="884"/>
      <c r="AW103" s="884"/>
      <c r="AX103" s="884"/>
      <c r="AY103" s="884"/>
      <c r="AZ103" s="884"/>
      <c r="BA103" s="884"/>
      <c r="BB103" s="884"/>
      <c r="BC103" s="884"/>
      <c r="BD103" s="884"/>
      <c r="BE103" s="884"/>
      <c r="BF103" s="884"/>
      <c r="BG103" s="884"/>
      <c r="BH103" s="884"/>
      <c r="BI103" s="884"/>
      <c r="BJ103" s="884"/>
      <c r="BK103" s="884"/>
      <c r="BL103" s="884"/>
      <c r="BM103" s="884"/>
      <c r="BN103" s="884"/>
      <c r="BO103" s="884"/>
      <c r="BP103" s="884"/>
      <c r="BQ103" s="884"/>
      <c r="BR103" s="884"/>
      <c r="BS103" s="884"/>
      <c r="BT103" s="884"/>
      <c r="BU103" s="884"/>
      <c r="BV103" s="884"/>
      <c r="BW103" s="884"/>
      <c r="BX103" s="884"/>
      <c r="BY103" s="884"/>
      <c r="BZ103" s="884"/>
      <c r="CA103" s="884"/>
      <c r="CB103" s="884"/>
      <c r="CC103" s="884"/>
      <c r="CD103" s="884"/>
      <c r="CE103" s="884"/>
      <c r="CF103" s="884"/>
      <c r="CG103" s="884"/>
      <c r="CH103" s="884"/>
      <c r="CI103" s="884"/>
      <c r="CJ103" s="884"/>
      <c r="CK103" s="884"/>
      <c r="CL103" s="884"/>
      <c r="CM103" s="884"/>
      <c r="CN103" s="884"/>
      <c r="CO103" s="884"/>
      <c r="CP103" s="884"/>
      <c r="CQ103" s="884"/>
      <c r="CR103" s="884"/>
      <c r="CS103" s="884"/>
      <c r="CT103" s="884"/>
      <c r="CU103" s="884"/>
      <c r="CV103" s="884"/>
      <c r="CW103" s="884"/>
      <c r="CX103" s="884"/>
      <c r="CY103" s="884"/>
      <c r="CZ103" s="884"/>
      <c r="DA103" s="884"/>
      <c r="DB103" s="884"/>
      <c r="DC103" s="884"/>
      <c r="DD103" s="884"/>
      <c r="DE103" s="884"/>
      <c r="DF103" s="884"/>
      <c r="DG103" s="884"/>
      <c r="DH103" s="884"/>
      <c r="DI103" s="884"/>
      <c r="DJ103" s="884"/>
      <c r="DK103" s="884"/>
      <c r="DL103" s="884"/>
      <c r="DM103" s="884"/>
      <c r="DN103" s="884"/>
      <c r="DO103" s="884"/>
      <c r="DP103" s="884"/>
      <c r="DQ103" s="884"/>
      <c r="DR103" s="884"/>
      <c r="DS103" s="884"/>
      <c r="DT103" s="884"/>
      <c r="DU103" s="884"/>
      <c r="DV103" s="884"/>
      <c r="DW103" s="884"/>
      <c r="DX103" s="884"/>
      <c r="DY103" s="884"/>
      <c r="DZ103" s="884"/>
      <c r="EA103" s="884"/>
      <c r="EB103" s="884"/>
      <c r="EC103" s="884"/>
      <c r="ED103" s="884"/>
      <c r="EE103" s="884"/>
      <c r="EF103" s="884"/>
      <c r="EG103" s="884"/>
      <c r="EH103" s="884"/>
      <c r="EI103" s="884"/>
      <c r="EJ103" s="884"/>
      <c r="EK103" s="884"/>
      <c r="EL103" s="884"/>
      <c r="EM103" s="884"/>
      <c r="EN103" s="884"/>
      <c r="EO103" s="884"/>
      <c r="EP103" s="884"/>
      <c r="EQ103" s="884"/>
      <c r="ER103" s="884"/>
      <c r="ES103" s="884"/>
      <c r="ET103" s="884"/>
      <c r="EU103" s="884"/>
      <c r="EV103" s="884"/>
      <c r="EW103" s="884"/>
      <c r="EX103" s="884"/>
      <c r="EY103" s="884"/>
      <c r="EZ103" s="884"/>
      <c r="FA103" s="884"/>
      <c r="FB103" s="884"/>
      <c r="FC103" s="884"/>
      <c r="FD103" s="884"/>
      <c r="FE103" s="884"/>
      <c r="FF103" s="884"/>
      <c r="FG103" s="884"/>
      <c r="FH103" s="884"/>
      <c r="FI103" s="884"/>
      <c r="FJ103" s="884"/>
      <c r="FK103" s="884"/>
      <c r="FL103" s="884"/>
      <c r="FM103" s="884"/>
      <c r="FN103" s="884"/>
      <c r="FO103" s="884"/>
      <c r="FP103" s="884"/>
      <c r="FQ103" s="884"/>
      <c r="FR103" s="884"/>
      <c r="FS103" s="884"/>
      <c r="FT103" s="884"/>
      <c r="FU103" s="884"/>
      <c r="FV103" s="884"/>
      <c r="FW103" s="884"/>
      <c r="FX103" s="884"/>
      <c r="FY103" s="884"/>
      <c r="FZ103" s="884"/>
      <c r="GA103" s="884"/>
      <c r="GB103" s="884"/>
      <c r="GC103" s="884"/>
      <c r="GD103" s="884"/>
      <c r="GE103" s="884"/>
      <c r="GF103" s="884"/>
      <c r="GG103" s="884"/>
      <c r="GH103" s="884"/>
      <c r="GI103" s="884"/>
      <c r="GJ103" s="884"/>
      <c r="GK103" s="884"/>
      <c r="GL103" s="884"/>
      <c r="GM103" s="884"/>
      <c r="GN103" s="884"/>
      <c r="GO103" s="884"/>
      <c r="GP103" s="884"/>
      <c r="GQ103" s="884"/>
      <c r="GR103" s="884"/>
      <c r="GS103" s="884"/>
      <c r="GT103" s="884"/>
      <c r="GU103" s="884"/>
      <c r="GV103" s="884"/>
      <c r="GW103" s="884"/>
      <c r="GX103" s="884"/>
      <c r="GY103" s="884"/>
      <c r="GZ103" s="884"/>
      <c r="HA103" s="884"/>
      <c r="HB103" s="884"/>
      <c r="HC103" s="884"/>
      <c r="HD103" s="884"/>
      <c r="HE103" s="884"/>
      <c r="HF103" s="884"/>
      <c r="HG103" s="884"/>
      <c r="HH103" s="884"/>
      <c r="HI103" s="884"/>
      <c r="HJ103" s="884"/>
      <c r="HK103" s="884"/>
      <c r="HL103" s="884"/>
      <c r="HM103" s="884"/>
      <c r="HN103" s="884"/>
      <c r="HO103" s="884"/>
      <c r="HP103" s="884"/>
      <c r="HQ103" s="884"/>
      <c r="HR103" s="884"/>
      <c r="HS103" s="884"/>
      <c r="HT103" s="884"/>
      <c r="HU103" s="884"/>
      <c r="HV103" s="884"/>
      <c r="HW103" s="884"/>
      <c r="HX103" s="884"/>
      <c r="HY103" s="884"/>
      <c r="HZ103" s="884"/>
      <c r="IA103" s="884"/>
      <c r="IB103" s="884"/>
      <c r="IC103" s="884"/>
      <c r="ID103" s="884"/>
      <c r="IE103" s="884"/>
      <c r="IF103" s="884"/>
      <c r="IG103" s="884"/>
      <c r="IH103" s="884"/>
      <c r="II103" s="884"/>
      <c r="IJ103" s="884"/>
      <c r="IK103" s="884"/>
      <c r="IL103" s="884"/>
      <c r="IM103" s="884"/>
      <c r="IN103" s="884"/>
      <c r="IO103" s="884"/>
      <c r="IP103" s="884"/>
      <c r="IQ103" s="884"/>
      <c r="IR103" s="884"/>
      <c r="IS103" s="884"/>
      <c r="IT103" s="884"/>
      <c r="IU103" s="884"/>
      <c r="IV103" s="884"/>
      <c r="IW103" s="884"/>
      <c r="IX103" s="884"/>
      <c r="IY103" s="884"/>
      <c r="IZ103" s="884"/>
      <c r="JA103" s="884"/>
      <c r="JB103" s="884"/>
      <c r="JC103" s="884"/>
      <c r="JD103" s="884"/>
      <c r="JE103" s="884"/>
      <c r="JF103" s="884"/>
      <c r="JG103" s="884"/>
      <c r="JH103" s="884"/>
      <c r="JI103" s="884"/>
      <c r="JJ103" s="884"/>
      <c r="JK103" s="884"/>
      <c r="JL103" s="884"/>
      <c r="JM103" s="884"/>
      <c r="JN103" s="884"/>
      <c r="JO103" s="884"/>
      <c r="JP103" s="884"/>
      <c r="JQ103" s="884"/>
      <c r="JR103" s="884"/>
      <c r="JS103" s="884"/>
      <c r="JT103" s="884"/>
      <c r="JU103" s="884"/>
      <c r="JV103" s="884"/>
      <c r="JW103" s="884"/>
    </row>
    <row r="104" spans="1:283" s="883" customFormat="1" x14ac:dyDescent="0.2">
      <c r="A104" s="884"/>
      <c r="B104" s="954"/>
      <c r="C104" s="955">
        <v>18</v>
      </c>
      <c r="D104" s="997" t="s">
        <v>886</v>
      </c>
      <c r="E104" s="980"/>
      <c r="F104" s="981"/>
      <c r="G104" s="980"/>
      <c r="H104" s="980"/>
      <c r="I104" s="980"/>
      <c r="J104" s="980"/>
      <c r="K104" s="980"/>
      <c r="L104" s="980"/>
      <c r="M104" s="980"/>
      <c r="N104" s="998"/>
      <c r="O104" s="983"/>
      <c r="P104" s="980"/>
      <c r="Q104" s="980"/>
      <c r="R104" s="980"/>
      <c r="S104" s="980"/>
      <c r="T104" s="4562"/>
      <c r="U104" s="4563"/>
      <c r="V104" s="980"/>
      <c r="W104" s="980"/>
      <c r="X104" s="980"/>
      <c r="Y104" s="980"/>
      <c r="Z104" s="980"/>
      <c r="AA104" s="980"/>
      <c r="AB104" s="980"/>
      <c r="AC104" s="980"/>
      <c r="AD104" s="980"/>
      <c r="AE104" s="980"/>
      <c r="AF104" s="980"/>
      <c r="AG104" s="980"/>
      <c r="AH104" s="980"/>
      <c r="AI104" s="980"/>
      <c r="AJ104" s="980"/>
      <c r="AK104" s="980"/>
      <c r="AL104" s="980"/>
      <c r="AM104" s="980"/>
      <c r="AN104" s="984"/>
      <c r="AT104" s="884"/>
      <c r="AU104" s="884"/>
      <c r="AV104" s="884"/>
      <c r="AW104" s="884"/>
      <c r="AX104" s="884"/>
      <c r="AY104" s="884"/>
      <c r="AZ104" s="884"/>
      <c r="BA104" s="884"/>
      <c r="BB104" s="884"/>
      <c r="BC104" s="884"/>
      <c r="BD104" s="884"/>
      <c r="BE104" s="884"/>
      <c r="BF104" s="884"/>
      <c r="BG104" s="884"/>
      <c r="BH104" s="884"/>
      <c r="BI104" s="884"/>
      <c r="BJ104" s="884"/>
      <c r="BK104" s="884"/>
      <c r="BL104" s="884"/>
      <c r="BM104" s="884"/>
      <c r="BN104" s="884"/>
      <c r="BO104" s="884"/>
      <c r="BP104" s="884"/>
      <c r="BQ104" s="884"/>
      <c r="BR104" s="884"/>
      <c r="BS104" s="884"/>
      <c r="BT104" s="884"/>
      <c r="BU104" s="884"/>
      <c r="BV104" s="884"/>
      <c r="BW104" s="884"/>
      <c r="BX104" s="884"/>
      <c r="BY104" s="884"/>
      <c r="BZ104" s="884"/>
      <c r="CA104" s="884"/>
      <c r="CB104" s="884"/>
      <c r="CC104" s="884"/>
      <c r="CD104" s="884"/>
      <c r="CE104" s="884"/>
      <c r="CF104" s="884"/>
      <c r="CG104" s="884"/>
      <c r="CH104" s="884"/>
      <c r="CI104" s="884"/>
      <c r="CJ104" s="884"/>
      <c r="CK104" s="884"/>
      <c r="CL104" s="884"/>
      <c r="CM104" s="884"/>
      <c r="CN104" s="884"/>
      <c r="CO104" s="884"/>
      <c r="CP104" s="884"/>
      <c r="CQ104" s="884"/>
      <c r="CR104" s="884"/>
      <c r="CS104" s="884"/>
      <c r="CT104" s="884"/>
      <c r="CU104" s="884"/>
      <c r="CV104" s="884"/>
      <c r="CW104" s="884"/>
      <c r="CX104" s="884"/>
      <c r="CY104" s="884"/>
      <c r="CZ104" s="884"/>
      <c r="DA104" s="884"/>
      <c r="DB104" s="884"/>
      <c r="DC104" s="884"/>
      <c r="DD104" s="884"/>
      <c r="DE104" s="884"/>
      <c r="DF104" s="884"/>
      <c r="DG104" s="884"/>
      <c r="DH104" s="884"/>
      <c r="DI104" s="884"/>
      <c r="DJ104" s="884"/>
      <c r="DK104" s="884"/>
      <c r="DL104" s="884"/>
      <c r="DM104" s="884"/>
      <c r="DN104" s="884"/>
      <c r="DO104" s="884"/>
      <c r="DP104" s="884"/>
      <c r="DQ104" s="884"/>
      <c r="DR104" s="884"/>
      <c r="DS104" s="884"/>
      <c r="DT104" s="884"/>
      <c r="DU104" s="884"/>
      <c r="DV104" s="884"/>
      <c r="DW104" s="884"/>
      <c r="DX104" s="884"/>
      <c r="DY104" s="884"/>
      <c r="DZ104" s="884"/>
      <c r="EA104" s="884"/>
      <c r="EB104" s="884"/>
      <c r="EC104" s="884"/>
      <c r="ED104" s="884"/>
      <c r="EE104" s="884"/>
      <c r="EF104" s="884"/>
      <c r="EG104" s="884"/>
      <c r="EH104" s="884"/>
      <c r="EI104" s="884"/>
      <c r="EJ104" s="884"/>
      <c r="EK104" s="884"/>
      <c r="EL104" s="884"/>
      <c r="EM104" s="884"/>
      <c r="EN104" s="884"/>
      <c r="EO104" s="884"/>
      <c r="EP104" s="884"/>
      <c r="EQ104" s="884"/>
      <c r="ER104" s="884"/>
      <c r="ES104" s="884"/>
      <c r="ET104" s="884"/>
      <c r="EU104" s="884"/>
      <c r="EV104" s="884"/>
      <c r="EW104" s="884"/>
      <c r="EX104" s="884"/>
      <c r="EY104" s="884"/>
      <c r="EZ104" s="884"/>
      <c r="FA104" s="884"/>
      <c r="FB104" s="884"/>
      <c r="FC104" s="884"/>
      <c r="FD104" s="884"/>
      <c r="FE104" s="884"/>
      <c r="FF104" s="884"/>
      <c r="FG104" s="884"/>
      <c r="FH104" s="884"/>
      <c r="FI104" s="884"/>
      <c r="FJ104" s="884"/>
      <c r="FK104" s="884"/>
      <c r="FL104" s="884"/>
      <c r="FM104" s="884"/>
      <c r="FN104" s="884"/>
      <c r="FO104" s="884"/>
      <c r="FP104" s="884"/>
      <c r="FQ104" s="884"/>
      <c r="FR104" s="884"/>
      <c r="FS104" s="884"/>
      <c r="FT104" s="884"/>
      <c r="FU104" s="884"/>
      <c r="FV104" s="884"/>
      <c r="FW104" s="884"/>
      <c r="FX104" s="884"/>
      <c r="FY104" s="884"/>
      <c r="FZ104" s="884"/>
      <c r="GA104" s="884"/>
      <c r="GB104" s="884"/>
      <c r="GC104" s="884"/>
      <c r="GD104" s="884"/>
      <c r="GE104" s="884"/>
      <c r="GF104" s="884"/>
      <c r="GG104" s="884"/>
      <c r="GH104" s="884"/>
      <c r="GI104" s="884"/>
      <c r="GJ104" s="884"/>
      <c r="GK104" s="884"/>
      <c r="GL104" s="884"/>
      <c r="GM104" s="884"/>
      <c r="GN104" s="884"/>
      <c r="GO104" s="884"/>
      <c r="GP104" s="884"/>
      <c r="GQ104" s="884"/>
      <c r="GR104" s="884"/>
      <c r="GS104" s="884"/>
      <c r="GT104" s="884"/>
      <c r="GU104" s="884"/>
      <c r="GV104" s="884"/>
      <c r="GW104" s="884"/>
      <c r="GX104" s="884"/>
      <c r="GY104" s="884"/>
      <c r="GZ104" s="884"/>
      <c r="HA104" s="884"/>
      <c r="HB104" s="884"/>
      <c r="HC104" s="884"/>
      <c r="HD104" s="884"/>
      <c r="HE104" s="884"/>
      <c r="HF104" s="884"/>
      <c r="HG104" s="884"/>
      <c r="HH104" s="884"/>
      <c r="HI104" s="884"/>
      <c r="HJ104" s="884"/>
      <c r="HK104" s="884"/>
      <c r="HL104" s="884"/>
      <c r="HM104" s="884"/>
      <c r="HN104" s="884"/>
      <c r="HO104" s="884"/>
      <c r="HP104" s="884"/>
      <c r="HQ104" s="884"/>
      <c r="HR104" s="884"/>
      <c r="HS104" s="884"/>
      <c r="HT104" s="884"/>
      <c r="HU104" s="884"/>
      <c r="HV104" s="884"/>
      <c r="HW104" s="884"/>
      <c r="HX104" s="884"/>
      <c r="HY104" s="884"/>
      <c r="HZ104" s="884"/>
      <c r="IA104" s="884"/>
      <c r="IB104" s="884"/>
      <c r="IC104" s="884"/>
      <c r="ID104" s="884"/>
      <c r="IE104" s="884"/>
      <c r="IF104" s="884"/>
      <c r="IG104" s="884"/>
      <c r="IH104" s="884"/>
      <c r="II104" s="884"/>
      <c r="IJ104" s="884"/>
      <c r="IK104" s="884"/>
      <c r="IL104" s="884"/>
      <c r="IM104" s="884"/>
      <c r="IN104" s="884"/>
      <c r="IO104" s="884"/>
      <c r="IP104" s="884"/>
      <c r="IQ104" s="884"/>
      <c r="IR104" s="884"/>
      <c r="IS104" s="884"/>
      <c r="IT104" s="884"/>
      <c r="IU104" s="884"/>
      <c r="IV104" s="884"/>
      <c r="IW104" s="884"/>
      <c r="IX104" s="884"/>
      <c r="IY104" s="884"/>
      <c r="IZ104" s="884"/>
      <c r="JA104" s="884"/>
      <c r="JB104" s="884"/>
      <c r="JC104" s="884"/>
      <c r="JD104" s="884"/>
      <c r="JE104" s="884"/>
      <c r="JF104" s="884"/>
      <c r="JG104" s="884"/>
      <c r="JH104" s="884"/>
      <c r="JI104" s="884"/>
      <c r="JJ104" s="884"/>
      <c r="JK104" s="884"/>
      <c r="JL104" s="884"/>
      <c r="JM104" s="884"/>
      <c r="JN104" s="884"/>
      <c r="JO104" s="884"/>
      <c r="JP104" s="884"/>
      <c r="JQ104" s="884"/>
      <c r="JR104" s="884"/>
      <c r="JS104" s="884"/>
      <c r="JT104" s="884"/>
      <c r="JU104" s="884"/>
      <c r="JV104" s="884"/>
      <c r="JW104" s="884"/>
    </row>
    <row r="105" spans="1:283" s="883" customFormat="1" x14ac:dyDescent="0.2">
      <c r="A105" s="4062"/>
      <c r="B105" s="971"/>
      <c r="C105" s="985"/>
      <c r="D105" s="4135"/>
      <c r="E105" s="999">
        <v>65</v>
      </c>
      <c r="F105" s="987" t="s">
        <v>926</v>
      </c>
      <c r="G105" s="988"/>
      <c r="H105" s="989"/>
      <c r="I105" s="989"/>
      <c r="J105" s="989"/>
      <c r="K105" s="989"/>
      <c r="L105" s="989"/>
      <c r="M105" s="989"/>
      <c r="N105" s="1000"/>
      <c r="O105" s="991"/>
      <c r="P105" s="989"/>
      <c r="Q105" s="989"/>
      <c r="R105" s="989"/>
      <c r="S105" s="989"/>
      <c r="T105" s="4564"/>
      <c r="U105" s="4565"/>
      <c r="V105" s="989"/>
      <c r="W105" s="989"/>
      <c r="X105" s="989"/>
      <c r="Y105" s="989"/>
      <c r="Z105" s="989"/>
      <c r="AA105" s="989"/>
      <c r="AB105" s="989"/>
      <c r="AC105" s="989"/>
      <c r="AD105" s="989"/>
      <c r="AE105" s="989"/>
      <c r="AF105" s="989"/>
      <c r="AG105" s="989"/>
      <c r="AH105" s="989"/>
      <c r="AI105" s="989"/>
      <c r="AJ105" s="989"/>
      <c r="AK105" s="989"/>
      <c r="AL105" s="989"/>
      <c r="AM105" s="989"/>
      <c r="AN105" s="988"/>
      <c r="AT105" s="884"/>
      <c r="AU105" s="884"/>
      <c r="AV105" s="884"/>
      <c r="AW105" s="884"/>
      <c r="AX105" s="884"/>
      <c r="AY105" s="884"/>
      <c r="AZ105" s="884"/>
      <c r="BA105" s="884"/>
      <c r="BB105" s="884"/>
      <c r="BC105" s="884"/>
      <c r="BD105" s="884"/>
      <c r="BE105" s="884"/>
      <c r="BF105" s="884"/>
      <c r="BG105" s="884"/>
      <c r="BH105" s="884"/>
      <c r="BI105" s="884"/>
      <c r="BJ105" s="884"/>
      <c r="BK105" s="884"/>
      <c r="BL105" s="884"/>
      <c r="BM105" s="884"/>
      <c r="BN105" s="884"/>
      <c r="BO105" s="884"/>
      <c r="BP105" s="884"/>
      <c r="BQ105" s="884"/>
      <c r="BR105" s="884"/>
      <c r="BS105" s="884"/>
      <c r="BT105" s="884"/>
      <c r="BU105" s="884"/>
      <c r="BV105" s="884"/>
      <c r="BW105" s="884"/>
      <c r="BX105" s="884"/>
      <c r="BY105" s="884"/>
      <c r="BZ105" s="884"/>
      <c r="CA105" s="884"/>
      <c r="CB105" s="884"/>
      <c r="CC105" s="884"/>
      <c r="CD105" s="884"/>
      <c r="CE105" s="884"/>
      <c r="CF105" s="884"/>
      <c r="CG105" s="884"/>
      <c r="CH105" s="884"/>
      <c r="CI105" s="884"/>
      <c r="CJ105" s="884"/>
      <c r="CK105" s="884"/>
      <c r="CL105" s="884"/>
      <c r="CM105" s="884"/>
      <c r="CN105" s="884"/>
      <c r="CO105" s="884"/>
      <c r="CP105" s="884"/>
      <c r="CQ105" s="884"/>
      <c r="CR105" s="884"/>
      <c r="CS105" s="884"/>
      <c r="CT105" s="884"/>
      <c r="CU105" s="884"/>
      <c r="CV105" s="884"/>
      <c r="CW105" s="884"/>
      <c r="CX105" s="884"/>
      <c r="CY105" s="884"/>
      <c r="CZ105" s="884"/>
      <c r="DA105" s="884"/>
      <c r="DB105" s="884"/>
      <c r="DC105" s="884"/>
      <c r="DD105" s="884"/>
      <c r="DE105" s="884"/>
      <c r="DF105" s="884"/>
      <c r="DG105" s="884"/>
      <c r="DH105" s="884"/>
      <c r="DI105" s="884"/>
      <c r="DJ105" s="884"/>
      <c r="DK105" s="884"/>
      <c r="DL105" s="884"/>
      <c r="DM105" s="884"/>
      <c r="DN105" s="884"/>
      <c r="DO105" s="884"/>
      <c r="DP105" s="884"/>
      <c r="DQ105" s="884"/>
      <c r="DR105" s="884"/>
      <c r="DS105" s="884"/>
      <c r="DT105" s="884"/>
      <c r="DU105" s="884"/>
      <c r="DV105" s="884"/>
      <c r="DW105" s="884"/>
      <c r="DX105" s="884"/>
      <c r="DY105" s="884"/>
      <c r="DZ105" s="884"/>
      <c r="EA105" s="884"/>
      <c r="EB105" s="884"/>
      <c r="EC105" s="884"/>
      <c r="ED105" s="884"/>
      <c r="EE105" s="884"/>
      <c r="EF105" s="884"/>
      <c r="EG105" s="884"/>
      <c r="EH105" s="884"/>
      <c r="EI105" s="884"/>
      <c r="EJ105" s="884"/>
      <c r="EK105" s="884"/>
      <c r="EL105" s="884"/>
      <c r="EM105" s="884"/>
      <c r="EN105" s="884"/>
      <c r="EO105" s="884"/>
      <c r="EP105" s="884"/>
      <c r="EQ105" s="884"/>
      <c r="ER105" s="884"/>
      <c r="ES105" s="884"/>
      <c r="ET105" s="884"/>
      <c r="EU105" s="884"/>
      <c r="EV105" s="884"/>
      <c r="EW105" s="884"/>
      <c r="EX105" s="884"/>
      <c r="EY105" s="884"/>
      <c r="EZ105" s="884"/>
      <c r="FA105" s="884"/>
      <c r="FB105" s="884"/>
      <c r="FC105" s="884"/>
      <c r="FD105" s="884"/>
      <c r="FE105" s="884"/>
      <c r="FF105" s="884"/>
      <c r="FG105" s="884"/>
      <c r="FH105" s="884"/>
      <c r="FI105" s="884"/>
      <c r="FJ105" s="884"/>
      <c r="FK105" s="884"/>
      <c r="FL105" s="884"/>
      <c r="FM105" s="884"/>
      <c r="FN105" s="884"/>
      <c r="FO105" s="884"/>
      <c r="FP105" s="884"/>
      <c r="FQ105" s="884"/>
      <c r="FR105" s="884"/>
      <c r="FS105" s="884"/>
      <c r="FT105" s="884"/>
      <c r="FU105" s="884"/>
      <c r="FV105" s="884"/>
      <c r="FW105" s="884"/>
      <c r="FX105" s="884"/>
      <c r="FY105" s="884"/>
      <c r="FZ105" s="884"/>
      <c r="GA105" s="884"/>
      <c r="GB105" s="884"/>
      <c r="GC105" s="884"/>
      <c r="GD105" s="884"/>
      <c r="GE105" s="884"/>
      <c r="GF105" s="884"/>
      <c r="GG105" s="884"/>
      <c r="GH105" s="884"/>
      <c r="GI105" s="884"/>
      <c r="GJ105" s="884"/>
      <c r="GK105" s="884"/>
      <c r="GL105" s="884"/>
      <c r="GM105" s="884"/>
      <c r="GN105" s="884"/>
      <c r="GO105" s="884"/>
      <c r="GP105" s="884"/>
      <c r="GQ105" s="884"/>
      <c r="GR105" s="884"/>
      <c r="GS105" s="884"/>
      <c r="GT105" s="884"/>
      <c r="GU105" s="884"/>
      <c r="GV105" s="884"/>
      <c r="GW105" s="884"/>
      <c r="GX105" s="884"/>
      <c r="GY105" s="884"/>
      <c r="GZ105" s="884"/>
      <c r="HA105" s="884"/>
      <c r="HB105" s="884"/>
      <c r="HC105" s="884"/>
      <c r="HD105" s="884"/>
      <c r="HE105" s="884"/>
      <c r="HF105" s="884"/>
      <c r="HG105" s="884"/>
      <c r="HH105" s="884"/>
      <c r="HI105" s="884"/>
      <c r="HJ105" s="884"/>
      <c r="HK105" s="884"/>
      <c r="HL105" s="884"/>
      <c r="HM105" s="884"/>
      <c r="HN105" s="884"/>
      <c r="HO105" s="884"/>
      <c r="HP105" s="884"/>
      <c r="HQ105" s="884"/>
      <c r="HR105" s="884"/>
      <c r="HS105" s="884"/>
      <c r="HT105" s="884"/>
      <c r="HU105" s="884"/>
      <c r="HV105" s="884"/>
      <c r="HW105" s="884"/>
      <c r="HX105" s="884"/>
      <c r="HY105" s="884"/>
      <c r="HZ105" s="884"/>
      <c r="IA105" s="884"/>
      <c r="IB105" s="884"/>
      <c r="IC105" s="884"/>
      <c r="ID105" s="884"/>
      <c r="IE105" s="884"/>
      <c r="IF105" s="884"/>
      <c r="IG105" s="884"/>
      <c r="IH105" s="884"/>
      <c r="II105" s="884"/>
      <c r="IJ105" s="884"/>
      <c r="IK105" s="884"/>
      <c r="IL105" s="884"/>
      <c r="IM105" s="884"/>
      <c r="IN105" s="884"/>
      <c r="IO105" s="884"/>
      <c r="IP105" s="884"/>
      <c r="IQ105" s="884"/>
      <c r="IR105" s="884"/>
      <c r="IS105" s="884"/>
      <c r="IT105" s="884"/>
      <c r="IU105" s="884"/>
      <c r="IV105" s="884"/>
      <c r="IW105" s="884"/>
      <c r="IX105" s="884"/>
      <c r="IY105" s="884"/>
      <c r="IZ105" s="884"/>
      <c r="JA105" s="884"/>
      <c r="JB105" s="884"/>
      <c r="JC105" s="884"/>
      <c r="JD105" s="884"/>
      <c r="JE105" s="884"/>
      <c r="JF105" s="884"/>
      <c r="JG105" s="884"/>
      <c r="JH105" s="884"/>
      <c r="JI105" s="884"/>
      <c r="JJ105" s="884"/>
      <c r="JK105" s="884"/>
      <c r="JL105" s="884"/>
      <c r="JM105" s="884"/>
      <c r="JN105" s="884"/>
      <c r="JO105" s="884"/>
      <c r="JP105" s="884"/>
      <c r="JQ105" s="884"/>
      <c r="JR105" s="884"/>
      <c r="JS105" s="884"/>
      <c r="JT105" s="884"/>
      <c r="JU105" s="884"/>
      <c r="JV105" s="884"/>
      <c r="JW105" s="884"/>
    </row>
    <row r="106" spans="1:283" s="883" customFormat="1" ht="85.5" customHeight="1" x14ac:dyDescent="0.2">
      <c r="A106" s="4062"/>
      <c r="B106" s="971"/>
      <c r="C106" s="985"/>
      <c r="D106" s="4136"/>
      <c r="E106" s="4110"/>
      <c r="F106" s="4110"/>
      <c r="G106" s="4111">
        <v>196</v>
      </c>
      <c r="H106" s="4113" t="s">
        <v>927</v>
      </c>
      <c r="I106" s="4113" t="s">
        <v>928</v>
      </c>
      <c r="J106" s="4111">
        <v>1</v>
      </c>
      <c r="K106" s="4111" t="s">
        <v>929</v>
      </c>
      <c r="L106" s="4111" t="s">
        <v>930</v>
      </c>
      <c r="M106" s="4113" t="s">
        <v>931</v>
      </c>
      <c r="N106" s="4159">
        <v>1</v>
      </c>
      <c r="O106" s="4118">
        <v>30000000</v>
      </c>
      <c r="P106" s="4120" t="s">
        <v>932</v>
      </c>
      <c r="Q106" s="4167" t="s">
        <v>933</v>
      </c>
      <c r="R106" s="996" t="s">
        <v>934</v>
      </c>
      <c r="S106" s="912">
        <v>12000000</v>
      </c>
      <c r="T106" s="2490" t="s">
        <v>61</v>
      </c>
      <c r="U106" s="2485" t="s">
        <v>357</v>
      </c>
      <c r="V106" s="4144"/>
      <c r="W106" s="4144"/>
      <c r="X106" s="4144"/>
      <c r="Y106" s="4147"/>
      <c r="Z106" s="4150"/>
      <c r="AA106" s="4150"/>
      <c r="AB106" s="4153"/>
      <c r="AC106" s="4156"/>
      <c r="AD106" s="4144"/>
      <c r="AE106" s="4144"/>
      <c r="AF106" s="4144"/>
      <c r="AG106" s="4147"/>
      <c r="AH106" s="4150"/>
      <c r="AI106" s="4150"/>
      <c r="AJ106" s="4153"/>
      <c r="AK106" s="4156"/>
      <c r="AL106" s="4124">
        <v>43466</v>
      </c>
      <c r="AM106" s="4124">
        <v>43617</v>
      </c>
      <c r="AN106" s="4162" t="s">
        <v>751</v>
      </c>
      <c r="AT106" s="884"/>
      <c r="AU106" s="884"/>
      <c r="AV106" s="884"/>
      <c r="AW106" s="884"/>
      <c r="AX106" s="884"/>
      <c r="AY106" s="884"/>
      <c r="AZ106" s="884"/>
      <c r="BA106" s="884"/>
      <c r="BB106" s="884"/>
      <c r="BC106" s="884"/>
      <c r="BD106" s="884"/>
      <c r="BE106" s="884"/>
      <c r="BF106" s="884"/>
      <c r="BG106" s="884"/>
      <c r="BH106" s="884"/>
      <c r="BI106" s="884"/>
      <c r="BJ106" s="884"/>
      <c r="BK106" s="884"/>
      <c r="BL106" s="884"/>
      <c r="BM106" s="884"/>
      <c r="BN106" s="884"/>
      <c r="BO106" s="884"/>
      <c r="BP106" s="884"/>
      <c r="BQ106" s="884"/>
      <c r="BR106" s="884"/>
      <c r="BS106" s="884"/>
      <c r="BT106" s="884"/>
      <c r="BU106" s="884"/>
      <c r="BV106" s="884"/>
      <c r="BW106" s="884"/>
      <c r="BX106" s="884"/>
      <c r="BY106" s="884"/>
      <c r="BZ106" s="884"/>
      <c r="CA106" s="884"/>
      <c r="CB106" s="884"/>
      <c r="CC106" s="884"/>
      <c r="CD106" s="884"/>
      <c r="CE106" s="884"/>
      <c r="CF106" s="884"/>
      <c r="CG106" s="884"/>
      <c r="CH106" s="884"/>
      <c r="CI106" s="884"/>
      <c r="CJ106" s="884"/>
      <c r="CK106" s="884"/>
      <c r="CL106" s="884"/>
      <c r="CM106" s="884"/>
      <c r="CN106" s="884"/>
      <c r="CO106" s="884"/>
      <c r="CP106" s="884"/>
      <c r="CQ106" s="884"/>
      <c r="CR106" s="884"/>
      <c r="CS106" s="884"/>
      <c r="CT106" s="884"/>
      <c r="CU106" s="884"/>
      <c r="CV106" s="884"/>
      <c r="CW106" s="884"/>
      <c r="CX106" s="884"/>
      <c r="CY106" s="884"/>
      <c r="CZ106" s="884"/>
      <c r="DA106" s="884"/>
      <c r="DB106" s="884"/>
      <c r="DC106" s="884"/>
      <c r="DD106" s="884"/>
      <c r="DE106" s="884"/>
      <c r="DF106" s="884"/>
      <c r="DG106" s="884"/>
      <c r="DH106" s="884"/>
      <c r="DI106" s="884"/>
      <c r="DJ106" s="884"/>
      <c r="DK106" s="884"/>
      <c r="DL106" s="884"/>
      <c r="DM106" s="884"/>
      <c r="DN106" s="884"/>
      <c r="DO106" s="884"/>
      <c r="DP106" s="884"/>
      <c r="DQ106" s="884"/>
      <c r="DR106" s="884"/>
      <c r="DS106" s="884"/>
      <c r="DT106" s="884"/>
      <c r="DU106" s="884"/>
      <c r="DV106" s="884"/>
      <c r="DW106" s="884"/>
      <c r="DX106" s="884"/>
      <c r="DY106" s="884"/>
      <c r="DZ106" s="884"/>
      <c r="EA106" s="884"/>
      <c r="EB106" s="884"/>
      <c r="EC106" s="884"/>
      <c r="ED106" s="884"/>
      <c r="EE106" s="884"/>
      <c r="EF106" s="884"/>
      <c r="EG106" s="884"/>
      <c r="EH106" s="884"/>
      <c r="EI106" s="884"/>
      <c r="EJ106" s="884"/>
      <c r="EK106" s="884"/>
      <c r="EL106" s="884"/>
      <c r="EM106" s="884"/>
      <c r="EN106" s="884"/>
      <c r="EO106" s="884"/>
      <c r="EP106" s="884"/>
      <c r="EQ106" s="884"/>
      <c r="ER106" s="884"/>
      <c r="ES106" s="884"/>
      <c r="ET106" s="884"/>
      <c r="EU106" s="884"/>
      <c r="EV106" s="884"/>
      <c r="EW106" s="884"/>
      <c r="EX106" s="884"/>
      <c r="EY106" s="884"/>
      <c r="EZ106" s="884"/>
      <c r="FA106" s="884"/>
      <c r="FB106" s="884"/>
      <c r="FC106" s="884"/>
      <c r="FD106" s="884"/>
      <c r="FE106" s="884"/>
      <c r="FF106" s="884"/>
      <c r="FG106" s="884"/>
      <c r="FH106" s="884"/>
      <c r="FI106" s="884"/>
      <c r="FJ106" s="884"/>
      <c r="FK106" s="884"/>
      <c r="FL106" s="884"/>
      <c r="FM106" s="884"/>
      <c r="FN106" s="884"/>
      <c r="FO106" s="884"/>
      <c r="FP106" s="884"/>
      <c r="FQ106" s="884"/>
      <c r="FR106" s="884"/>
      <c r="FS106" s="884"/>
      <c r="FT106" s="884"/>
      <c r="FU106" s="884"/>
      <c r="FV106" s="884"/>
      <c r="FW106" s="884"/>
      <c r="FX106" s="884"/>
      <c r="FY106" s="884"/>
      <c r="FZ106" s="884"/>
      <c r="GA106" s="884"/>
      <c r="GB106" s="884"/>
      <c r="GC106" s="884"/>
      <c r="GD106" s="884"/>
      <c r="GE106" s="884"/>
      <c r="GF106" s="884"/>
      <c r="GG106" s="884"/>
      <c r="GH106" s="884"/>
      <c r="GI106" s="884"/>
      <c r="GJ106" s="884"/>
      <c r="GK106" s="884"/>
      <c r="GL106" s="884"/>
      <c r="GM106" s="884"/>
      <c r="GN106" s="884"/>
      <c r="GO106" s="884"/>
      <c r="GP106" s="884"/>
      <c r="GQ106" s="884"/>
      <c r="GR106" s="884"/>
      <c r="GS106" s="884"/>
      <c r="GT106" s="884"/>
      <c r="GU106" s="884"/>
      <c r="GV106" s="884"/>
      <c r="GW106" s="884"/>
      <c r="GX106" s="884"/>
      <c r="GY106" s="884"/>
      <c r="GZ106" s="884"/>
      <c r="HA106" s="884"/>
      <c r="HB106" s="884"/>
      <c r="HC106" s="884"/>
      <c r="HD106" s="884"/>
      <c r="HE106" s="884"/>
      <c r="HF106" s="884"/>
      <c r="HG106" s="884"/>
      <c r="HH106" s="884"/>
      <c r="HI106" s="884"/>
      <c r="HJ106" s="884"/>
      <c r="HK106" s="884"/>
      <c r="HL106" s="884"/>
      <c r="HM106" s="884"/>
      <c r="HN106" s="884"/>
      <c r="HO106" s="884"/>
      <c r="HP106" s="884"/>
      <c r="HQ106" s="884"/>
      <c r="HR106" s="884"/>
      <c r="HS106" s="884"/>
      <c r="HT106" s="884"/>
      <c r="HU106" s="884"/>
      <c r="HV106" s="884"/>
      <c r="HW106" s="884"/>
      <c r="HX106" s="884"/>
      <c r="HY106" s="884"/>
      <c r="HZ106" s="884"/>
      <c r="IA106" s="884"/>
      <c r="IB106" s="884"/>
      <c r="IC106" s="884"/>
      <c r="ID106" s="884"/>
      <c r="IE106" s="884"/>
      <c r="IF106" s="884"/>
      <c r="IG106" s="884"/>
      <c r="IH106" s="884"/>
      <c r="II106" s="884"/>
      <c r="IJ106" s="884"/>
      <c r="IK106" s="884"/>
      <c r="IL106" s="884"/>
      <c r="IM106" s="884"/>
      <c r="IN106" s="884"/>
      <c r="IO106" s="884"/>
      <c r="IP106" s="884"/>
      <c r="IQ106" s="884"/>
      <c r="IR106" s="884"/>
      <c r="IS106" s="884"/>
      <c r="IT106" s="884"/>
      <c r="IU106" s="884"/>
      <c r="IV106" s="884"/>
      <c r="IW106" s="884"/>
      <c r="IX106" s="884"/>
      <c r="IY106" s="884"/>
      <c r="IZ106" s="884"/>
      <c r="JA106" s="884"/>
      <c r="JB106" s="884"/>
      <c r="JC106" s="884"/>
      <c r="JD106" s="884"/>
      <c r="JE106" s="884"/>
      <c r="JF106" s="884"/>
      <c r="JG106" s="884"/>
      <c r="JH106" s="884"/>
      <c r="JI106" s="884"/>
      <c r="JJ106" s="884"/>
      <c r="JK106" s="884"/>
      <c r="JL106" s="884"/>
      <c r="JM106" s="884"/>
      <c r="JN106" s="884"/>
      <c r="JO106" s="884"/>
      <c r="JP106" s="884"/>
      <c r="JQ106" s="884"/>
      <c r="JR106" s="884"/>
      <c r="JS106" s="884"/>
      <c r="JT106" s="884"/>
      <c r="JU106" s="884"/>
      <c r="JV106" s="884"/>
      <c r="JW106" s="884"/>
    </row>
    <row r="107" spans="1:283" s="883" customFormat="1" ht="30" x14ac:dyDescent="0.2">
      <c r="A107" s="4062"/>
      <c r="B107" s="971"/>
      <c r="C107" s="985"/>
      <c r="D107" s="4136"/>
      <c r="E107" s="4110"/>
      <c r="F107" s="4110"/>
      <c r="G107" s="4131"/>
      <c r="H107" s="4139"/>
      <c r="I107" s="4139"/>
      <c r="J107" s="4131"/>
      <c r="K107" s="4131"/>
      <c r="L107" s="4131"/>
      <c r="M107" s="4139"/>
      <c r="N107" s="4160"/>
      <c r="O107" s="4133"/>
      <c r="P107" s="4134"/>
      <c r="Q107" s="4168"/>
      <c r="R107" s="996" t="s">
        <v>935</v>
      </c>
      <c r="S107" s="912">
        <v>10000000</v>
      </c>
      <c r="T107" s="2490" t="s">
        <v>61</v>
      </c>
      <c r="U107" s="2485" t="s">
        <v>357</v>
      </c>
      <c r="V107" s="4145"/>
      <c r="W107" s="4145"/>
      <c r="X107" s="4145"/>
      <c r="Y107" s="4148"/>
      <c r="Z107" s="4151"/>
      <c r="AA107" s="4151"/>
      <c r="AB107" s="4154"/>
      <c r="AC107" s="4157"/>
      <c r="AD107" s="4145"/>
      <c r="AE107" s="4145"/>
      <c r="AF107" s="4145"/>
      <c r="AG107" s="4148"/>
      <c r="AH107" s="4151"/>
      <c r="AI107" s="4151"/>
      <c r="AJ107" s="4154"/>
      <c r="AK107" s="4157"/>
      <c r="AL107" s="4112"/>
      <c r="AM107" s="4112"/>
      <c r="AN107" s="4163"/>
      <c r="AT107" s="884"/>
      <c r="AU107" s="884"/>
      <c r="AV107" s="884"/>
      <c r="AW107" s="884"/>
      <c r="AX107" s="884"/>
      <c r="AY107" s="884"/>
      <c r="AZ107" s="884"/>
      <c r="BA107" s="884"/>
      <c r="BB107" s="884"/>
      <c r="BC107" s="884"/>
      <c r="BD107" s="884"/>
      <c r="BE107" s="884"/>
      <c r="BF107" s="884"/>
      <c r="BG107" s="884"/>
      <c r="BH107" s="884"/>
      <c r="BI107" s="884"/>
      <c r="BJ107" s="884"/>
      <c r="BK107" s="884"/>
      <c r="BL107" s="884"/>
      <c r="BM107" s="884"/>
      <c r="BN107" s="884"/>
      <c r="BO107" s="884"/>
      <c r="BP107" s="884"/>
      <c r="BQ107" s="884"/>
      <c r="BR107" s="884"/>
      <c r="BS107" s="884"/>
      <c r="BT107" s="884"/>
      <c r="BU107" s="884"/>
      <c r="BV107" s="884"/>
      <c r="BW107" s="884"/>
      <c r="BX107" s="884"/>
      <c r="BY107" s="884"/>
      <c r="BZ107" s="884"/>
      <c r="CA107" s="884"/>
      <c r="CB107" s="884"/>
      <c r="CC107" s="884"/>
      <c r="CD107" s="884"/>
      <c r="CE107" s="884"/>
      <c r="CF107" s="884"/>
      <c r="CG107" s="884"/>
      <c r="CH107" s="884"/>
      <c r="CI107" s="884"/>
      <c r="CJ107" s="884"/>
      <c r="CK107" s="884"/>
      <c r="CL107" s="884"/>
      <c r="CM107" s="884"/>
      <c r="CN107" s="884"/>
      <c r="CO107" s="884"/>
      <c r="CP107" s="884"/>
      <c r="CQ107" s="884"/>
      <c r="CR107" s="884"/>
      <c r="CS107" s="884"/>
      <c r="CT107" s="884"/>
      <c r="CU107" s="884"/>
      <c r="CV107" s="884"/>
      <c r="CW107" s="884"/>
      <c r="CX107" s="884"/>
      <c r="CY107" s="884"/>
      <c r="CZ107" s="884"/>
      <c r="DA107" s="884"/>
      <c r="DB107" s="884"/>
      <c r="DC107" s="884"/>
      <c r="DD107" s="884"/>
      <c r="DE107" s="884"/>
      <c r="DF107" s="884"/>
      <c r="DG107" s="884"/>
      <c r="DH107" s="884"/>
      <c r="DI107" s="884"/>
      <c r="DJ107" s="884"/>
      <c r="DK107" s="884"/>
      <c r="DL107" s="884"/>
      <c r="DM107" s="884"/>
      <c r="DN107" s="884"/>
      <c r="DO107" s="884"/>
      <c r="DP107" s="884"/>
      <c r="DQ107" s="884"/>
      <c r="DR107" s="884"/>
      <c r="DS107" s="884"/>
      <c r="DT107" s="884"/>
      <c r="DU107" s="884"/>
      <c r="DV107" s="884"/>
      <c r="DW107" s="884"/>
      <c r="DX107" s="884"/>
      <c r="DY107" s="884"/>
      <c r="DZ107" s="884"/>
      <c r="EA107" s="884"/>
      <c r="EB107" s="884"/>
      <c r="EC107" s="884"/>
      <c r="ED107" s="884"/>
      <c r="EE107" s="884"/>
      <c r="EF107" s="884"/>
      <c r="EG107" s="884"/>
      <c r="EH107" s="884"/>
      <c r="EI107" s="884"/>
      <c r="EJ107" s="884"/>
      <c r="EK107" s="884"/>
      <c r="EL107" s="884"/>
      <c r="EM107" s="884"/>
      <c r="EN107" s="884"/>
      <c r="EO107" s="884"/>
      <c r="EP107" s="884"/>
      <c r="EQ107" s="884"/>
      <c r="ER107" s="884"/>
      <c r="ES107" s="884"/>
      <c r="ET107" s="884"/>
      <c r="EU107" s="884"/>
      <c r="EV107" s="884"/>
      <c r="EW107" s="884"/>
      <c r="EX107" s="884"/>
      <c r="EY107" s="884"/>
      <c r="EZ107" s="884"/>
      <c r="FA107" s="884"/>
      <c r="FB107" s="884"/>
      <c r="FC107" s="884"/>
      <c r="FD107" s="884"/>
      <c r="FE107" s="884"/>
      <c r="FF107" s="884"/>
      <c r="FG107" s="884"/>
      <c r="FH107" s="884"/>
      <c r="FI107" s="884"/>
      <c r="FJ107" s="884"/>
      <c r="FK107" s="884"/>
      <c r="FL107" s="884"/>
      <c r="FM107" s="884"/>
      <c r="FN107" s="884"/>
      <c r="FO107" s="884"/>
      <c r="FP107" s="884"/>
      <c r="FQ107" s="884"/>
      <c r="FR107" s="884"/>
      <c r="FS107" s="884"/>
      <c r="FT107" s="884"/>
      <c r="FU107" s="884"/>
      <c r="FV107" s="884"/>
      <c r="FW107" s="884"/>
      <c r="FX107" s="884"/>
      <c r="FY107" s="884"/>
      <c r="FZ107" s="884"/>
      <c r="GA107" s="884"/>
      <c r="GB107" s="884"/>
      <c r="GC107" s="884"/>
      <c r="GD107" s="884"/>
      <c r="GE107" s="884"/>
      <c r="GF107" s="884"/>
      <c r="GG107" s="884"/>
      <c r="GH107" s="884"/>
      <c r="GI107" s="884"/>
      <c r="GJ107" s="884"/>
      <c r="GK107" s="884"/>
      <c r="GL107" s="884"/>
      <c r="GM107" s="884"/>
      <c r="GN107" s="884"/>
      <c r="GO107" s="884"/>
      <c r="GP107" s="884"/>
      <c r="GQ107" s="884"/>
      <c r="GR107" s="884"/>
      <c r="GS107" s="884"/>
      <c r="GT107" s="884"/>
      <c r="GU107" s="884"/>
      <c r="GV107" s="884"/>
      <c r="GW107" s="884"/>
      <c r="GX107" s="884"/>
      <c r="GY107" s="884"/>
      <c r="GZ107" s="884"/>
      <c r="HA107" s="884"/>
      <c r="HB107" s="884"/>
      <c r="HC107" s="884"/>
      <c r="HD107" s="884"/>
      <c r="HE107" s="884"/>
      <c r="HF107" s="884"/>
      <c r="HG107" s="884"/>
      <c r="HH107" s="884"/>
      <c r="HI107" s="884"/>
      <c r="HJ107" s="884"/>
      <c r="HK107" s="884"/>
      <c r="HL107" s="884"/>
      <c r="HM107" s="884"/>
      <c r="HN107" s="884"/>
      <c r="HO107" s="884"/>
      <c r="HP107" s="884"/>
      <c r="HQ107" s="884"/>
      <c r="HR107" s="884"/>
      <c r="HS107" s="884"/>
      <c r="HT107" s="884"/>
      <c r="HU107" s="884"/>
      <c r="HV107" s="884"/>
      <c r="HW107" s="884"/>
      <c r="HX107" s="884"/>
      <c r="HY107" s="884"/>
      <c r="HZ107" s="884"/>
      <c r="IA107" s="884"/>
      <c r="IB107" s="884"/>
      <c r="IC107" s="884"/>
      <c r="ID107" s="884"/>
      <c r="IE107" s="884"/>
      <c r="IF107" s="884"/>
      <c r="IG107" s="884"/>
      <c r="IH107" s="884"/>
      <c r="II107" s="884"/>
      <c r="IJ107" s="884"/>
      <c r="IK107" s="884"/>
      <c r="IL107" s="884"/>
      <c r="IM107" s="884"/>
      <c r="IN107" s="884"/>
      <c r="IO107" s="884"/>
      <c r="IP107" s="884"/>
      <c r="IQ107" s="884"/>
      <c r="IR107" s="884"/>
      <c r="IS107" s="884"/>
      <c r="IT107" s="884"/>
      <c r="IU107" s="884"/>
      <c r="IV107" s="884"/>
      <c r="IW107" s="884"/>
      <c r="IX107" s="884"/>
      <c r="IY107" s="884"/>
      <c r="IZ107" s="884"/>
      <c r="JA107" s="884"/>
      <c r="JB107" s="884"/>
      <c r="JC107" s="884"/>
      <c r="JD107" s="884"/>
      <c r="JE107" s="884"/>
      <c r="JF107" s="884"/>
      <c r="JG107" s="884"/>
      <c r="JH107" s="884"/>
      <c r="JI107" s="884"/>
      <c r="JJ107" s="884"/>
      <c r="JK107" s="884"/>
      <c r="JL107" s="884"/>
      <c r="JM107" s="884"/>
      <c r="JN107" s="884"/>
      <c r="JO107" s="884"/>
      <c r="JP107" s="884"/>
      <c r="JQ107" s="884"/>
      <c r="JR107" s="884"/>
      <c r="JS107" s="884"/>
      <c r="JT107" s="884"/>
      <c r="JU107" s="884"/>
      <c r="JV107" s="884"/>
      <c r="JW107" s="884"/>
    </row>
    <row r="108" spans="1:283" s="883" customFormat="1" ht="34.5" customHeight="1" x14ac:dyDescent="0.2">
      <c r="A108" s="4062"/>
      <c r="B108" s="971"/>
      <c r="C108" s="985"/>
      <c r="D108" s="4136"/>
      <c r="E108" s="4110"/>
      <c r="F108" s="4110"/>
      <c r="G108" s="4131"/>
      <c r="H108" s="4139"/>
      <c r="I108" s="4139"/>
      <c r="J108" s="4131"/>
      <c r="K108" s="4131"/>
      <c r="L108" s="4131"/>
      <c r="M108" s="4139"/>
      <c r="N108" s="4160"/>
      <c r="O108" s="4133"/>
      <c r="P108" s="4134"/>
      <c r="Q108" s="4168"/>
      <c r="R108" s="996" t="s">
        <v>936</v>
      </c>
      <c r="S108" s="912">
        <v>3000000</v>
      </c>
      <c r="T108" s="2490" t="s">
        <v>61</v>
      </c>
      <c r="U108" s="2485" t="s">
        <v>357</v>
      </c>
      <c r="V108" s="4145"/>
      <c r="W108" s="4145"/>
      <c r="X108" s="4145"/>
      <c r="Y108" s="4148"/>
      <c r="Z108" s="4151"/>
      <c r="AA108" s="4151"/>
      <c r="AB108" s="4154"/>
      <c r="AC108" s="4157"/>
      <c r="AD108" s="4145"/>
      <c r="AE108" s="4145"/>
      <c r="AF108" s="4145"/>
      <c r="AG108" s="4148"/>
      <c r="AH108" s="4151"/>
      <c r="AI108" s="4151"/>
      <c r="AJ108" s="4154"/>
      <c r="AK108" s="4157"/>
      <c r="AL108" s="4124">
        <v>43466</v>
      </c>
      <c r="AM108" s="4124">
        <v>43617</v>
      </c>
      <c r="AN108" s="4163"/>
      <c r="AT108" s="884"/>
      <c r="AU108" s="884"/>
      <c r="AV108" s="884"/>
      <c r="AW108" s="884"/>
      <c r="AX108" s="884"/>
      <c r="AY108" s="884"/>
      <c r="AZ108" s="884"/>
      <c r="BA108" s="884"/>
      <c r="BB108" s="884"/>
      <c r="BC108" s="884"/>
      <c r="BD108" s="884"/>
      <c r="BE108" s="884"/>
      <c r="BF108" s="884"/>
      <c r="BG108" s="884"/>
      <c r="BH108" s="884"/>
      <c r="BI108" s="884"/>
      <c r="BJ108" s="884"/>
      <c r="BK108" s="884"/>
      <c r="BL108" s="884"/>
      <c r="BM108" s="884"/>
      <c r="BN108" s="884"/>
      <c r="BO108" s="884"/>
      <c r="BP108" s="884"/>
      <c r="BQ108" s="884"/>
      <c r="BR108" s="884"/>
      <c r="BS108" s="884"/>
      <c r="BT108" s="884"/>
      <c r="BU108" s="884"/>
      <c r="BV108" s="884"/>
      <c r="BW108" s="884"/>
      <c r="BX108" s="884"/>
      <c r="BY108" s="884"/>
      <c r="BZ108" s="884"/>
      <c r="CA108" s="884"/>
      <c r="CB108" s="884"/>
      <c r="CC108" s="884"/>
      <c r="CD108" s="884"/>
      <c r="CE108" s="884"/>
      <c r="CF108" s="884"/>
      <c r="CG108" s="884"/>
      <c r="CH108" s="884"/>
      <c r="CI108" s="884"/>
      <c r="CJ108" s="884"/>
      <c r="CK108" s="884"/>
      <c r="CL108" s="884"/>
      <c r="CM108" s="884"/>
      <c r="CN108" s="884"/>
      <c r="CO108" s="884"/>
      <c r="CP108" s="884"/>
      <c r="CQ108" s="884"/>
      <c r="CR108" s="884"/>
      <c r="CS108" s="884"/>
      <c r="CT108" s="884"/>
      <c r="CU108" s="884"/>
      <c r="CV108" s="884"/>
      <c r="CW108" s="884"/>
      <c r="CX108" s="884"/>
      <c r="CY108" s="884"/>
      <c r="CZ108" s="884"/>
      <c r="DA108" s="884"/>
      <c r="DB108" s="884"/>
      <c r="DC108" s="884"/>
      <c r="DD108" s="884"/>
      <c r="DE108" s="884"/>
      <c r="DF108" s="884"/>
      <c r="DG108" s="884"/>
      <c r="DH108" s="884"/>
      <c r="DI108" s="884"/>
      <c r="DJ108" s="884"/>
      <c r="DK108" s="884"/>
      <c r="DL108" s="884"/>
      <c r="DM108" s="884"/>
      <c r="DN108" s="884"/>
      <c r="DO108" s="884"/>
      <c r="DP108" s="884"/>
      <c r="DQ108" s="884"/>
      <c r="DR108" s="884"/>
      <c r="DS108" s="884"/>
      <c r="DT108" s="884"/>
      <c r="DU108" s="884"/>
      <c r="DV108" s="884"/>
      <c r="DW108" s="884"/>
      <c r="DX108" s="884"/>
      <c r="DY108" s="884"/>
      <c r="DZ108" s="884"/>
      <c r="EA108" s="884"/>
      <c r="EB108" s="884"/>
      <c r="EC108" s="884"/>
      <c r="ED108" s="884"/>
      <c r="EE108" s="884"/>
      <c r="EF108" s="884"/>
      <c r="EG108" s="884"/>
      <c r="EH108" s="884"/>
      <c r="EI108" s="884"/>
      <c r="EJ108" s="884"/>
      <c r="EK108" s="884"/>
      <c r="EL108" s="884"/>
      <c r="EM108" s="884"/>
      <c r="EN108" s="884"/>
      <c r="EO108" s="884"/>
      <c r="EP108" s="884"/>
      <c r="EQ108" s="884"/>
      <c r="ER108" s="884"/>
      <c r="ES108" s="884"/>
      <c r="ET108" s="884"/>
      <c r="EU108" s="884"/>
      <c r="EV108" s="884"/>
      <c r="EW108" s="884"/>
      <c r="EX108" s="884"/>
      <c r="EY108" s="884"/>
      <c r="EZ108" s="884"/>
      <c r="FA108" s="884"/>
      <c r="FB108" s="884"/>
      <c r="FC108" s="884"/>
      <c r="FD108" s="884"/>
      <c r="FE108" s="884"/>
      <c r="FF108" s="884"/>
      <c r="FG108" s="884"/>
      <c r="FH108" s="884"/>
      <c r="FI108" s="884"/>
      <c r="FJ108" s="884"/>
      <c r="FK108" s="884"/>
      <c r="FL108" s="884"/>
      <c r="FM108" s="884"/>
      <c r="FN108" s="884"/>
      <c r="FO108" s="884"/>
      <c r="FP108" s="884"/>
      <c r="FQ108" s="884"/>
      <c r="FR108" s="884"/>
      <c r="FS108" s="884"/>
      <c r="FT108" s="884"/>
      <c r="FU108" s="884"/>
      <c r="FV108" s="884"/>
      <c r="FW108" s="884"/>
      <c r="FX108" s="884"/>
      <c r="FY108" s="884"/>
      <c r="FZ108" s="884"/>
      <c r="GA108" s="884"/>
      <c r="GB108" s="884"/>
      <c r="GC108" s="884"/>
      <c r="GD108" s="884"/>
      <c r="GE108" s="884"/>
      <c r="GF108" s="884"/>
      <c r="GG108" s="884"/>
      <c r="GH108" s="884"/>
      <c r="GI108" s="884"/>
      <c r="GJ108" s="884"/>
      <c r="GK108" s="884"/>
      <c r="GL108" s="884"/>
      <c r="GM108" s="884"/>
      <c r="GN108" s="884"/>
      <c r="GO108" s="884"/>
      <c r="GP108" s="884"/>
      <c r="GQ108" s="884"/>
      <c r="GR108" s="884"/>
      <c r="GS108" s="884"/>
      <c r="GT108" s="884"/>
      <c r="GU108" s="884"/>
      <c r="GV108" s="884"/>
      <c r="GW108" s="884"/>
      <c r="GX108" s="884"/>
      <c r="GY108" s="884"/>
      <c r="GZ108" s="884"/>
      <c r="HA108" s="884"/>
      <c r="HB108" s="884"/>
      <c r="HC108" s="884"/>
      <c r="HD108" s="884"/>
      <c r="HE108" s="884"/>
      <c r="HF108" s="884"/>
      <c r="HG108" s="884"/>
      <c r="HH108" s="884"/>
      <c r="HI108" s="884"/>
      <c r="HJ108" s="884"/>
      <c r="HK108" s="884"/>
      <c r="HL108" s="884"/>
      <c r="HM108" s="884"/>
      <c r="HN108" s="884"/>
      <c r="HO108" s="884"/>
      <c r="HP108" s="884"/>
      <c r="HQ108" s="884"/>
      <c r="HR108" s="884"/>
      <c r="HS108" s="884"/>
      <c r="HT108" s="884"/>
      <c r="HU108" s="884"/>
      <c r="HV108" s="884"/>
      <c r="HW108" s="884"/>
      <c r="HX108" s="884"/>
      <c r="HY108" s="884"/>
      <c r="HZ108" s="884"/>
      <c r="IA108" s="884"/>
      <c r="IB108" s="884"/>
      <c r="IC108" s="884"/>
      <c r="ID108" s="884"/>
      <c r="IE108" s="884"/>
      <c r="IF108" s="884"/>
      <c r="IG108" s="884"/>
      <c r="IH108" s="884"/>
      <c r="II108" s="884"/>
      <c r="IJ108" s="884"/>
      <c r="IK108" s="884"/>
      <c r="IL108" s="884"/>
      <c r="IM108" s="884"/>
      <c r="IN108" s="884"/>
      <c r="IO108" s="884"/>
      <c r="IP108" s="884"/>
      <c r="IQ108" s="884"/>
      <c r="IR108" s="884"/>
      <c r="IS108" s="884"/>
      <c r="IT108" s="884"/>
      <c r="IU108" s="884"/>
      <c r="IV108" s="884"/>
      <c r="IW108" s="884"/>
      <c r="IX108" s="884"/>
      <c r="IY108" s="884"/>
      <c r="IZ108" s="884"/>
      <c r="JA108" s="884"/>
      <c r="JB108" s="884"/>
      <c r="JC108" s="884"/>
      <c r="JD108" s="884"/>
      <c r="JE108" s="884"/>
      <c r="JF108" s="884"/>
      <c r="JG108" s="884"/>
      <c r="JH108" s="884"/>
      <c r="JI108" s="884"/>
      <c r="JJ108" s="884"/>
      <c r="JK108" s="884"/>
      <c r="JL108" s="884"/>
      <c r="JM108" s="884"/>
      <c r="JN108" s="884"/>
      <c r="JO108" s="884"/>
      <c r="JP108" s="884"/>
      <c r="JQ108" s="884"/>
      <c r="JR108" s="884"/>
      <c r="JS108" s="884"/>
      <c r="JT108" s="884"/>
      <c r="JU108" s="884"/>
      <c r="JV108" s="884"/>
      <c r="JW108" s="884"/>
    </row>
    <row r="109" spans="1:283" s="883" customFormat="1" ht="29.25" thickBot="1" x14ac:dyDescent="0.25">
      <c r="A109" s="4062"/>
      <c r="B109" s="971"/>
      <c r="C109" s="985"/>
      <c r="D109" s="4137"/>
      <c r="E109" s="4110"/>
      <c r="F109" s="4110"/>
      <c r="G109" s="4138"/>
      <c r="H109" s="4140"/>
      <c r="I109" s="4140"/>
      <c r="J109" s="4138"/>
      <c r="K109" s="4138"/>
      <c r="L109" s="4138"/>
      <c r="M109" s="4140"/>
      <c r="N109" s="4161"/>
      <c r="O109" s="4165"/>
      <c r="P109" s="4166"/>
      <c r="Q109" s="4169"/>
      <c r="R109" s="1001" t="s">
        <v>937</v>
      </c>
      <c r="S109" s="1002">
        <v>5000000</v>
      </c>
      <c r="T109" s="1002" t="s">
        <v>61</v>
      </c>
      <c r="U109" s="1002" t="s">
        <v>357</v>
      </c>
      <c r="V109" s="4146"/>
      <c r="W109" s="4146"/>
      <c r="X109" s="4146"/>
      <c r="Y109" s="4149"/>
      <c r="Z109" s="4152"/>
      <c r="AA109" s="4152"/>
      <c r="AB109" s="4155"/>
      <c r="AC109" s="4158"/>
      <c r="AD109" s="4146"/>
      <c r="AE109" s="4146"/>
      <c r="AF109" s="4146"/>
      <c r="AG109" s="4149"/>
      <c r="AH109" s="4152"/>
      <c r="AI109" s="4152"/>
      <c r="AJ109" s="4155"/>
      <c r="AK109" s="4158"/>
      <c r="AL109" s="4138"/>
      <c r="AM109" s="4138"/>
      <c r="AN109" s="4164"/>
      <c r="AT109" s="884"/>
      <c r="AU109" s="884"/>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4"/>
      <c r="BQ109" s="884"/>
      <c r="BR109" s="884"/>
      <c r="BS109" s="884"/>
      <c r="BT109" s="884"/>
      <c r="BU109" s="884"/>
      <c r="BV109" s="884"/>
      <c r="BW109" s="884"/>
      <c r="BX109" s="884"/>
      <c r="BY109" s="884"/>
      <c r="BZ109" s="884"/>
      <c r="CA109" s="884"/>
      <c r="CB109" s="884"/>
      <c r="CC109" s="884"/>
      <c r="CD109" s="884"/>
      <c r="CE109" s="884"/>
      <c r="CF109" s="884"/>
      <c r="CG109" s="884"/>
      <c r="CH109" s="884"/>
      <c r="CI109" s="884"/>
      <c r="CJ109" s="884"/>
      <c r="CK109" s="884"/>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4"/>
      <c r="DG109" s="884"/>
      <c r="DH109" s="884"/>
      <c r="DI109" s="884"/>
      <c r="DJ109" s="884"/>
      <c r="DK109" s="884"/>
      <c r="DL109" s="884"/>
      <c r="DM109" s="884"/>
      <c r="DN109" s="884"/>
      <c r="DO109" s="884"/>
      <c r="DP109" s="884"/>
      <c r="DQ109" s="884"/>
      <c r="DR109" s="884"/>
      <c r="DS109" s="884"/>
      <c r="DT109" s="884"/>
      <c r="DU109" s="884"/>
      <c r="DV109" s="884"/>
      <c r="DW109" s="884"/>
      <c r="DX109" s="884"/>
      <c r="DY109" s="884"/>
      <c r="DZ109" s="884"/>
      <c r="EA109" s="884"/>
      <c r="EB109" s="884"/>
      <c r="EC109" s="884"/>
      <c r="ED109" s="884"/>
      <c r="EE109" s="884"/>
      <c r="EF109" s="884"/>
      <c r="EG109" s="884"/>
      <c r="EH109" s="884"/>
      <c r="EI109" s="884"/>
      <c r="EJ109" s="884"/>
      <c r="EK109" s="884"/>
      <c r="EL109" s="884"/>
      <c r="EM109" s="884"/>
      <c r="EN109" s="884"/>
      <c r="EO109" s="884"/>
      <c r="EP109" s="884"/>
      <c r="EQ109" s="884"/>
      <c r="ER109" s="884"/>
      <c r="ES109" s="884"/>
      <c r="ET109" s="884"/>
      <c r="EU109" s="884"/>
      <c r="EV109" s="884"/>
      <c r="EW109" s="884"/>
      <c r="EX109" s="884"/>
      <c r="EY109" s="884"/>
      <c r="EZ109" s="884"/>
      <c r="FA109" s="884"/>
      <c r="FB109" s="884"/>
      <c r="FC109" s="884"/>
      <c r="FD109" s="884"/>
      <c r="FE109" s="884"/>
      <c r="FF109" s="884"/>
      <c r="FG109" s="884"/>
      <c r="FH109" s="884"/>
      <c r="FI109" s="884"/>
      <c r="FJ109" s="884"/>
      <c r="FK109" s="884"/>
      <c r="FL109" s="884"/>
      <c r="FM109" s="884"/>
      <c r="FN109" s="884"/>
      <c r="FO109" s="884"/>
      <c r="FP109" s="884"/>
      <c r="FQ109" s="884"/>
      <c r="FR109" s="884"/>
      <c r="FS109" s="884"/>
      <c r="FT109" s="884"/>
      <c r="FU109" s="884"/>
      <c r="FV109" s="884"/>
      <c r="FW109" s="884"/>
      <c r="FX109" s="884"/>
      <c r="FY109" s="884"/>
      <c r="FZ109" s="884"/>
      <c r="GA109" s="884"/>
      <c r="GB109" s="884"/>
      <c r="GC109" s="884"/>
      <c r="GD109" s="884"/>
      <c r="GE109" s="884"/>
      <c r="GF109" s="884"/>
      <c r="GG109" s="884"/>
      <c r="GH109" s="884"/>
      <c r="GI109" s="884"/>
      <c r="GJ109" s="884"/>
      <c r="GK109" s="884"/>
      <c r="GL109" s="884"/>
      <c r="GM109" s="884"/>
      <c r="GN109" s="884"/>
      <c r="GO109" s="884"/>
      <c r="GP109" s="884"/>
      <c r="GQ109" s="884"/>
      <c r="GR109" s="884"/>
      <c r="GS109" s="884"/>
      <c r="GT109" s="884"/>
      <c r="GU109" s="884"/>
      <c r="GV109" s="884"/>
      <c r="GW109" s="884"/>
      <c r="GX109" s="884"/>
      <c r="GY109" s="884"/>
      <c r="GZ109" s="884"/>
      <c r="HA109" s="884"/>
      <c r="HB109" s="884"/>
      <c r="HC109" s="884"/>
      <c r="HD109" s="884"/>
      <c r="HE109" s="884"/>
      <c r="HF109" s="884"/>
      <c r="HG109" s="884"/>
      <c r="HH109" s="884"/>
      <c r="HI109" s="884"/>
      <c r="HJ109" s="884"/>
      <c r="HK109" s="884"/>
      <c r="HL109" s="884"/>
      <c r="HM109" s="884"/>
      <c r="HN109" s="884"/>
      <c r="HO109" s="884"/>
      <c r="HP109" s="884"/>
      <c r="HQ109" s="884"/>
      <c r="HR109" s="884"/>
      <c r="HS109" s="884"/>
      <c r="HT109" s="884"/>
      <c r="HU109" s="884"/>
      <c r="HV109" s="884"/>
      <c r="HW109" s="884"/>
      <c r="HX109" s="884"/>
      <c r="HY109" s="884"/>
      <c r="HZ109" s="884"/>
      <c r="IA109" s="884"/>
      <c r="IB109" s="884"/>
      <c r="IC109" s="884"/>
      <c r="ID109" s="884"/>
      <c r="IE109" s="884"/>
      <c r="IF109" s="884"/>
      <c r="IG109" s="884"/>
      <c r="IH109" s="884"/>
      <c r="II109" s="884"/>
      <c r="IJ109" s="884"/>
      <c r="IK109" s="884"/>
      <c r="IL109" s="884"/>
      <c r="IM109" s="884"/>
      <c r="IN109" s="884"/>
      <c r="IO109" s="884"/>
      <c r="IP109" s="884"/>
      <c r="IQ109" s="884"/>
      <c r="IR109" s="884"/>
      <c r="IS109" s="884"/>
      <c r="IT109" s="884"/>
      <c r="IU109" s="884"/>
      <c r="IV109" s="884"/>
      <c r="IW109" s="884"/>
      <c r="IX109" s="884"/>
      <c r="IY109" s="884"/>
      <c r="IZ109" s="884"/>
      <c r="JA109" s="884"/>
      <c r="JB109" s="884"/>
      <c r="JC109" s="884"/>
      <c r="JD109" s="884"/>
      <c r="JE109" s="884"/>
      <c r="JF109" s="884"/>
      <c r="JG109" s="884"/>
      <c r="JH109" s="884"/>
      <c r="JI109" s="884"/>
      <c r="JJ109" s="884"/>
      <c r="JK109" s="884"/>
      <c r="JL109" s="884"/>
      <c r="JM109" s="884"/>
      <c r="JN109" s="884"/>
      <c r="JO109" s="884"/>
      <c r="JP109" s="884"/>
      <c r="JQ109" s="884"/>
      <c r="JR109" s="884"/>
      <c r="JS109" s="884"/>
      <c r="JT109" s="884"/>
      <c r="JU109" s="884"/>
      <c r="JV109" s="884"/>
      <c r="JW109" s="884"/>
    </row>
    <row r="110" spans="1:283" s="883" customFormat="1" x14ac:dyDescent="0.2">
      <c r="A110" s="953"/>
      <c r="B110" s="954"/>
      <c r="C110" s="1003">
        <v>18</v>
      </c>
      <c r="D110" s="979" t="s">
        <v>886</v>
      </c>
      <c r="E110" s="1004"/>
      <c r="F110" s="981"/>
      <c r="G110" s="980"/>
      <c r="H110" s="1005"/>
      <c r="I110" s="1005"/>
      <c r="J110" s="980"/>
      <c r="K110" s="980"/>
      <c r="L110" s="980"/>
      <c r="M110" s="980"/>
      <c r="N110" s="998"/>
      <c r="O110" s="983"/>
      <c r="P110" s="980"/>
      <c r="Q110" s="1006"/>
      <c r="R110" s="1006"/>
      <c r="S110" s="1006"/>
      <c r="T110" s="4562"/>
      <c r="U110" s="4563"/>
      <c r="V110" s="1006"/>
      <c r="W110" s="1006"/>
      <c r="X110" s="1006"/>
      <c r="Y110" s="1006"/>
      <c r="Z110" s="1006"/>
      <c r="AA110" s="1006"/>
      <c r="AB110" s="1006"/>
      <c r="AC110" s="1006"/>
      <c r="AD110" s="1006"/>
      <c r="AE110" s="1006"/>
      <c r="AF110" s="1006"/>
      <c r="AG110" s="1006"/>
      <c r="AH110" s="1006"/>
      <c r="AI110" s="1006"/>
      <c r="AJ110" s="1006"/>
      <c r="AK110" s="1006"/>
      <c r="AL110" s="1006"/>
      <c r="AM110" s="1006"/>
      <c r="AN110" s="1007"/>
      <c r="AT110" s="884"/>
      <c r="AU110" s="884"/>
      <c r="AV110" s="884"/>
      <c r="AW110" s="884"/>
      <c r="AX110" s="884"/>
      <c r="AY110" s="884"/>
      <c r="AZ110" s="884"/>
      <c r="BA110" s="884"/>
      <c r="BB110" s="884"/>
      <c r="BC110" s="884"/>
      <c r="BD110" s="884"/>
      <c r="BE110" s="884"/>
      <c r="BF110" s="884"/>
      <c r="BG110" s="884"/>
      <c r="BH110" s="884"/>
      <c r="BI110" s="884"/>
      <c r="BJ110" s="884"/>
      <c r="BK110" s="884"/>
      <c r="BL110" s="884"/>
      <c r="BM110" s="884"/>
      <c r="BN110" s="884"/>
      <c r="BO110" s="884"/>
      <c r="BP110" s="884"/>
      <c r="BQ110" s="884"/>
      <c r="BR110" s="884"/>
      <c r="BS110" s="884"/>
      <c r="BT110" s="884"/>
      <c r="BU110" s="884"/>
      <c r="BV110" s="884"/>
      <c r="BW110" s="884"/>
      <c r="BX110" s="884"/>
      <c r="BY110" s="884"/>
      <c r="BZ110" s="884"/>
      <c r="CA110" s="884"/>
      <c r="CB110" s="884"/>
      <c r="CC110" s="884"/>
      <c r="CD110" s="884"/>
      <c r="CE110" s="884"/>
      <c r="CF110" s="884"/>
      <c r="CG110" s="884"/>
      <c r="CH110" s="884"/>
      <c r="CI110" s="884"/>
      <c r="CJ110" s="884"/>
      <c r="CK110" s="884"/>
      <c r="CL110" s="884"/>
      <c r="CM110" s="884"/>
      <c r="CN110" s="884"/>
      <c r="CO110" s="884"/>
      <c r="CP110" s="884"/>
      <c r="CQ110" s="884"/>
      <c r="CR110" s="884"/>
      <c r="CS110" s="884"/>
      <c r="CT110" s="884"/>
      <c r="CU110" s="884"/>
      <c r="CV110" s="884"/>
      <c r="CW110" s="884"/>
      <c r="CX110" s="884"/>
      <c r="CY110" s="884"/>
      <c r="CZ110" s="884"/>
      <c r="DA110" s="884"/>
      <c r="DB110" s="884"/>
      <c r="DC110" s="884"/>
      <c r="DD110" s="884"/>
      <c r="DE110" s="884"/>
      <c r="DF110" s="884"/>
      <c r="DG110" s="884"/>
      <c r="DH110" s="884"/>
      <c r="DI110" s="884"/>
      <c r="DJ110" s="884"/>
      <c r="DK110" s="884"/>
      <c r="DL110" s="884"/>
      <c r="DM110" s="884"/>
      <c r="DN110" s="884"/>
      <c r="DO110" s="884"/>
      <c r="DP110" s="884"/>
      <c r="DQ110" s="884"/>
      <c r="DR110" s="884"/>
      <c r="DS110" s="884"/>
      <c r="DT110" s="884"/>
      <c r="DU110" s="884"/>
      <c r="DV110" s="884"/>
      <c r="DW110" s="884"/>
      <c r="DX110" s="884"/>
      <c r="DY110" s="884"/>
      <c r="DZ110" s="884"/>
      <c r="EA110" s="884"/>
      <c r="EB110" s="884"/>
      <c r="EC110" s="884"/>
      <c r="ED110" s="884"/>
      <c r="EE110" s="884"/>
      <c r="EF110" s="884"/>
      <c r="EG110" s="884"/>
      <c r="EH110" s="884"/>
      <c r="EI110" s="884"/>
      <c r="EJ110" s="884"/>
      <c r="EK110" s="884"/>
      <c r="EL110" s="884"/>
      <c r="EM110" s="884"/>
      <c r="EN110" s="884"/>
      <c r="EO110" s="884"/>
      <c r="EP110" s="884"/>
      <c r="EQ110" s="884"/>
      <c r="ER110" s="884"/>
      <c r="ES110" s="884"/>
      <c r="ET110" s="884"/>
      <c r="EU110" s="884"/>
      <c r="EV110" s="884"/>
      <c r="EW110" s="884"/>
      <c r="EX110" s="884"/>
      <c r="EY110" s="884"/>
      <c r="EZ110" s="884"/>
      <c r="FA110" s="884"/>
      <c r="FB110" s="884"/>
      <c r="FC110" s="884"/>
      <c r="FD110" s="884"/>
      <c r="FE110" s="884"/>
      <c r="FF110" s="884"/>
      <c r="FG110" s="884"/>
      <c r="FH110" s="884"/>
      <c r="FI110" s="884"/>
      <c r="FJ110" s="884"/>
      <c r="FK110" s="884"/>
      <c r="FL110" s="884"/>
      <c r="FM110" s="884"/>
      <c r="FN110" s="884"/>
      <c r="FO110" s="884"/>
      <c r="FP110" s="884"/>
      <c r="FQ110" s="884"/>
      <c r="FR110" s="884"/>
      <c r="FS110" s="884"/>
      <c r="FT110" s="884"/>
      <c r="FU110" s="884"/>
      <c r="FV110" s="884"/>
      <c r="FW110" s="884"/>
      <c r="FX110" s="884"/>
      <c r="FY110" s="884"/>
      <c r="FZ110" s="884"/>
      <c r="GA110" s="884"/>
      <c r="GB110" s="884"/>
      <c r="GC110" s="884"/>
      <c r="GD110" s="884"/>
      <c r="GE110" s="884"/>
      <c r="GF110" s="884"/>
      <c r="GG110" s="884"/>
      <c r="GH110" s="884"/>
      <c r="GI110" s="884"/>
      <c r="GJ110" s="884"/>
      <c r="GK110" s="884"/>
      <c r="GL110" s="884"/>
      <c r="GM110" s="884"/>
      <c r="GN110" s="884"/>
      <c r="GO110" s="884"/>
      <c r="GP110" s="884"/>
      <c r="GQ110" s="884"/>
      <c r="GR110" s="884"/>
      <c r="GS110" s="884"/>
      <c r="GT110" s="884"/>
      <c r="GU110" s="884"/>
      <c r="GV110" s="884"/>
      <c r="GW110" s="884"/>
      <c r="GX110" s="884"/>
      <c r="GY110" s="884"/>
      <c r="GZ110" s="884"/>
      <c r="HA110" s="884"/>
      <c r="HB110" s="884"/>
      <c r="HC110" s="884"/>
      <c r="HD110" s="884"/>
      <c r="HE110" s="884"/>
      <c r="HF110" s="884"/>
      <c r="HG110" s="884"/>
      <c r="HH110" s="884"/>
      <c r="HI110" s="884"/>
      <c r="HJ110" s="884"/>
      <c r="HK110" s="884"/>
      <c r="HL110" s="884"/>
      <c r="HM110" s="884"/>
      <c r="HN110" s="884"/>
      <c r="HO110" s="884"/>
      <c r="HP110" s="884"/>
      <c r="HQ110" s="884"/>
      <c r="HR110" s="884"/>
      <c r="HS110" s="884"/>
      <c r="HT110" s="884"/>
      <c r="HU110" s="884"/>
      <c r="HV110" s="884"/>
      <c r="HW110" s="884"/>
      <c r="HX110" s="884"/>
      <c r="HY110" s="884"/>
      <c r="HZ110" s="884"/>
      <c r="IA110" s="884"/>
      <c r="IB110" s="884"/>
      <c r="IC110" s="884"/>
      <c r="ID110" s="884"/>
      <c r="IE110" s="884"/>
      <c r="IF110" s="884"/>
      <c r="IG110" s="884"/>
      <c r="IH110" s="884"/>
      <c r="II110" s="884"/>
      <c r="IJ110" s="884"/>
      <c r="IK110" s="884"/>
      <c r="IL110" s="884"/>
      <c r="IM110" s="884"/>
      <c r="IN110" s="884"/>
      <c r="IO110" s="884"/>
      <c r="IP110" s="884"/>
      <c r="IQ110" s="884"/>
      <c r="IR110" s="884"/>
      <c r="IS110" s="884"/>
      <c r="IT110" s="884"/>
      <c r="IU110" s="884"/>
      <c r="IV110" s="884"/>
      <c r="IW110" s="884"/>
      <c r="IX110" s="884"/>
      <c r="IY110" s="884"/>
      <c r="IZ110" s="884"/>
      <c r="JA110" s="884"/>
      <c r="JB110" s="884"/>
      <c r="JC110" s="884"/>
      <c r="JD110" s="884"/>
      <c r="JE110" s="884"/>
      <c r="JF110" s="884"/>
      <c r="JG110" s="884"/>
      <c r="JH110" s="884"/>
      <c r="JI110" s="884"/>
      <c r="JJ110" s="884"/>
      <c r="JK110" s="884"/>
      <c r="JL110" s="884"/>
      <c r="JM110" s="884"/>
      <c r="JN110" s="884"/>
      <c r="JO110" s="884"/>
      <c r="JP110" s="884"/>
      <c r="JQ110" s="884"/>
      <c r="JR110" s="884"/>
      <c r="JS110" s="884"/>
      <c r="JT110" s="884"/>
      <c r="JU110" s="884"/>
      <c r="JV110" s="884"/>
      <c r="JW110" s="884"/>
    </row>
    <row r="111" spans="1:283" s="883" customFormat="1" x14ac:dyDescent="0.2">
      <c r="A111" s="4062"/>
      <c r="B111" s="971"/>
      <c r="C111" s="985"/>
      <c r="D111" s="4135"/>
      <c r="E111" s="999">
        <v>66</v>
      </c>
      <c r="F111" s="987" t="s">
        <v>938</v>
      </c>
      <c r="G111" s="988"/>
      <c r="H111" s="1008"/>
      <c r="I111" s="1008"/>
      <c r="J111" s="989"/>
      <c r="K111" s="989"/>
      <c r="L111" s="989"/>
      <c r="M111" s="989"/>
      <c r="N111" s="1000"/>
      <c r="O111" s="991"/>
      <c r="P111" s="989"/>
      <c r="Q111" s="989"/>
      <c r="R111" s="989"/>
      <c r="S111" s="989"/>
      <c r="T111" s="4564"/>
      <c r="U111" s="4565"/>
      <c r="V111" s="989"/>
      <c r="W111" s="989"/>
      <c r="X111" s="989"/>
      <c r="Y111" s="989"/>
      <c r="Z111" s="989"/>
      <c r="AA111" s="989"/>
      <c r="AB111" s="989"/>
      <c r="AC111" s="989"/>
      <c r="AD111" s="989"/>
      <c r="AE111" s="989"/>
      <c r="AF111" s="989"/>
      <c r="AG111" s="989"/>
      <c r="AH111" s="989"/>
      <c r="AI111" s="989"/>
      <c r="AJ111" s="989"/>
      <c r="AK111" s="989"/>
      <c r="AL111" s="989"/>
      <c r="AM111" s="989"/>
      <c r="AN111" s="988"/>
      <c r="AT111" s="884"/>
      <c r="AU111" s="884"/>
      <c r="AV111" s="884"/>
      <c r="AW111" s="884"/>
      <c r="AX111" s="884"/>
      <c r="AY111" s="884"/>
      <c r="AZ111" s="884"/>
      <c r="BA111" s="884"/>
      <c r="BB111" s="884"/>
      <c r="BC111" s="884"/>
      <c r="BD111" s="884"/>
      <c r="BE111" s="884"/>
      <c r="BF111" s="884"/>
      <c r="BG111" s="884"/>
      <c r="BH111" s="884"/>
      <c r="BI111" s="884"/>
      <c r="BJ111" s="884"/>
      <c r="BK111" s="884"/>
      <c r="BL111" s="884"/>
      <c r="BM111" s="884"/>
      <c r="BN111" s="884"/>
      <c r="BO111" s="884"/>
      <c r="BP111" s="884"/>
      <c r="BQ111" s="884"/>
      <c r="BR111" s="884"/>
      <c r="BS111" s="884"/>
      <c r="BT111" s="884"/>
      <c r="BU111" s="884"/>
      <c r="BV111" s="884"/>
      <c r="BW111" s="884"/>
      <c r="BX111" s="884"/>
      <c r="BY111" s="884"/>
      <c r="BZ111" s="884"/>
      <c r="CA111" s="884"/>
      <c r="CB111" s="884"/>
      <c r="CC111" s="884"/>
      <c r="CD111" s="884"/>
      <c r="CE111" s="884"/>
      <c r="CF111" s="884"/>
      <c r="CG111" s="884"/>
      <c r="CH111" s="884"/>
      <c r="CI111" s="884"/>
      <c r="CJ111" s="884"/>
      <c r="CK111" s="884"/>
      <c r="CL111" s="884"/>
      <c r="CM111" s="884"/>
      <c r="CN111" s="884"/>
      <c r="CO111" s="884"/>
      <c r="CP111" s="884"/>
      <c r="CQ111" s="884"/>
      <c r="CR111" s="884"/>
      <c r="CS111" s="884"/>
      <c r="CT111" s="884"/>
      <c r="CU111" s="884"/>
      <c r="CV111" s="884"/>
      <c r="CW111" s="884"/>
      <c r="CX111" s="884"/>
      <c r="CY111" s="884"/>
      <c r="CZ111" s="884"/>
      <c r="DA111" s="884"/>
      <c r="DB111" s="884"/>
      <c r="DC111" s="884"/>
      <c r="DD111" s="884"/>
      <c r="DE111" s="884"/>
      <c r="DF111" s="884"/>
      <c r="DG111" s="884"/>
      <c r="DH111" s="884"/>
      <c r="DI111" s="884"/>
      <c r="DJ111" s="884"/>
      <c r="DK111" s="884"/>
      <c r="DL111" s="884"/>
      <c r="DM111" s="884"/>
      <c r="DN111" s="884"/>
      <c r="DO111" s="884"/>
      <c r="DP111" s="884"/>
      <c r="DQ111" s="884"/>
      <c r="DR111" s="884"/>
      <c r="DS111" s="884"/>
      <c r="DT111" s="884"/>
      <c r="DU111" s="884"/>
      <c r="DV111" s="884"/>
      <c r="DW111" s="884"/>
      <c r="DX111" s="884"/>
      <c r="DY111" s="884"/>
      <c r="DZ111" s="884"/>
      <c r="EA111" s="884"/>
      <c r="EB111" s="884"/>
      <c r="EC111" s="884"/>
      <c r="ED111" s="884"/>
      <c r="EE111" s="884"/>
      <c r="EF111" s="884"/>
      <c r="EG111" s="884"/>
      <c r="EH111" s="884"/>
      <c r="EI111" s="884"/>
      <c r="EJ111" s="884"/>
      <c r="EK111" s="884"/>
      <c r="EL111" s="884"/>
      <c r="EM111" s="884"/>
      <c r="EN111" s="884"/>
      <c r="EO111" s="884"/>
      <c r="EP111" s="884"/>
      <c r="EQ111" s="884"/>
      <c r="ER111" s="884"/>
      <c r="ES111" s="884"/>
      <c r="ET111" s="884"/>
      <c r="EU111" s="884"/>
      <c r="EV111" s="884"/>
      <c r="EW111" s="884"/>
      <c r="EX111" s="884"/>
      <c r="EY111" s="884"/>
      <c r="EZ111" s="884"/>
      <c r="FA111" s="884"/>
      <c r="FB111" s="884"/>
      <c r="FC111" s="884"/>
      <c r="FD111" s="884"/>
      <c r="FE111" s="884"/>
      <c r="FF111" s="884"/>
      <c r="FG111" s="884"/>
      <c r="FH111" s="884"/>
      <c r="FI111" s="884"/>
      <c r="FJ111" s="884"/>
      <c r="FK111" s="884"/>
      <c r="FL111" s="884"/>
      <c r="FM111" s="884"/>
      <c r="FN111" s="884"/>
      <c r="FO111" s="884"/>
      <c r="FP111" s="884"/>
      <c r="FQ111" s="884"/>
      <c r="FR111" s="884"/>
      <c r="FS111" s="884"/>
      <c r="FT111" s="884"/>
      <c r="FU111" s="884"/>
      <c r="FV111" s="884"/>
      <c r="FW111" s="884"/>
      <c r="FX111" s="884"/>
      <c r="FY111" s="884"/>
      <c r="FZ111" s="884"/>
      <c r="GA111" s="884"/>
      <c r="GB111" s="884"/>
      <c r="GC111" s="884"/>
      <c r="GD111" s="884"/>
      <c r="GE111" s="884"/>
      <c r="GF111" s="884"/>
      <c r="GG111" s="884"/>
      <c r="GH111" s="884"/>
      <c r="GI111" s="884"/>
      <c r="GJ111" s="884"/>
      <c r="GK111" s="884"/>
      <c r="GL111" s="884"/>
      <c r="GM111" s="884"/>
      <c r="GN111" s="884"/>
      <c r="GO111" s="884"/>
      <c r="GP111" s="884"/>
      <c r="GQ111" s="884"/>
      <c r="GR111" s="884"/>
      <c r="GS111" s="884"/>
      <c r="GT111" s="884"/>
      <c r="GU111" s="884"/>
      <c r="GV111" s="884"/>
      <c r="GW111" s="884"/>
      <c r="GX111" s="884"/>
      <c r="GY111" s="884"/>
      <c r="GZ111" s="884"/>
      <c r="HA111" s="884"/>
      <c r="HB111" s="884"/>
      <c r="HC111" s="884"/>
      <c r="HD111" s="884"/>
      <c r="HE111" s="884"/>
      <c r="HF111" s="884"/>
      <c r="HG111" s="884"/>
      <c r="HH111" s="884"/>
      <c r="HI111" s="884"/>
      <c r="HJ111" s="884"/>
      <c r="HK111" s="884"/>
      <c r="HL111" s="884"/>
      <c r="HM111" s="884"/>
      <c r="HN111" s="884"/>
      <c r="HO111" s="884"/>
      <c r="HP111" s="884"/>
      <c r="HQ111" s="884"/>
      <c r="HR111" s="884"/>
      <c r="HS111" s="884"/>
      <c r="HT111" s="884"/>
      <c r="HU111" s="884"/>
      <c r="HV111" s="884"/>
      <c r="HW111" s="884"/>
      <c r="HX111" s="884"/>
      <c r="HY111" s="884"/>
      <c r="HZ111" s="884"/>
      <c r="IA111" s="884"/>
      <c r="IB111" s="884"/>
      <c r="IC111" s="884"/>
      <c r="ID111" s="884"/>
      <c r="IE111" s="884"/>
      <c r="IF111" s="884"/>
      <c r="IG111" s="884"/>
      <c r="IH111" s="884"/>
      <c r="II111" s="884"/>
      <c r="IJ111" s="884"/>
      <c r="IK111" s="884"/>
      <c r="IL111" s="884"/>
      <c r="IM111" s="884"/>
      <c r="IN111" s="884"/>
      <c r="IO111" s="884"/>
      <c r="IP111" s="884"/>
      <c r="IQ111" s="884"/>
      <c r="IR111" s="884"/>
      <c r="IS111" s="884"/>
      <c r="IT111" s="884"/>
      <c r="IU111" s="884"/>
      <c r="IV111" s="884"/>
      <c r="IW111" s="884"/>
      <c r="IX111" s="884"/>
      <c r="IY111" s="884"/>
      <c r="IZ111" s="884"/>
      <c r="JA111" s="884"/>
      <c r="JB111" s="884"/>
      <c r="JC111" s="884"/>
      <c r="JD111" s="884"/>
      <c r="JE111" s="884"/>
      <c r="JF111" s="884"/>
      <c r="JG111" s="884"/>
      <c r="JH111" s="884"/>
      <c r="JI111" s="884"/>
      <c r="JJ111" s="884"/>
      <c r="JK111" s="884"/>
      <c r="JL111" s="884"/>
      <c r="JM111" s="884"/>
      <c r="JN111" s="884"/>
      <c r="JO111" s="884"/>
      <c r="JP111" s="884"/>
      <c r="JQ111" s="884"/>
      <c r="JR111" s="884"/>
      <c r="JS111" s="884"/>
      <c r="JT111" s="884"/>
      <c r="JU111" s="884"/>
      <c r="JV111" s="884"/>
      <c r="JW111" s="884"/>
    </row>
    <row r="112" spans="1:283" s="883" customFormat="1" ht="99.75" customHeight="1" x14ac:dyDescent="0.2">
      <c r="A112" s="4062"/>
      <c r="B112" s="971"/>
      <c r="C112" s="985"/>
      <c r="D112" s="4136"/>
      <c r="E112" s="4110"/>
      <c r="F112" s="4110"/>
      <c r="G112" s="4111">
        <v>197</v>
      </c>
      <c r="H112" s="4142" t="s">
        <v>939</v>
      </c>
      <c r="I112" s="4027" t="s">
        <v>940</v>
      </c>
      <c r="J112" s="4111">
        <v>1</v>
      </c>
      <c r="K112" s="4111" t="s">
        <v>941</v>
      </c>
      <c r="L112" s="4111" t="s">
        <v>942</v>
      </c>
      <c r="M112" s="4113" t="s">
        <v>943</v>
      </c>
      <c r="N112" s="4159">
        <v>1</v>
      </c>
      <c r="O112" s="4118">
        <v>50000000</v>
      </c>
      <c r="P112" s="4172" t="s">
        <v>944</v>
      </c>
      <c r="Q112" s="2623" t="s">
        <v>945</v>
      </c>
      <c r="R112" s="996" t="s">
        <v>946</v>
      </c>
      <c r="S112" s="912">
        <v>0</v>
      </c>
      <c r="T112" s="2490" t="s">
        <v>61</v>
      </c>
      <c r="U112" s="2485" t="s">
        <v>357</v>
      </c>
      <c r="V112" s="4173"/>
      <c r="W112" s="4153"/>
      <c r="X112" s="4153"/>
      <c r="Y112" s="4170"/>
      <c r="Z112" s="4153"/>
      <c r="AA112" s="4153"/>
      <c r="AB112" s="4153"/>
      <c r="AC112" s="4153"/>
      <c r="AD112" s="4173"/>
      <c r="AE112" s="4153"/>
      <c r="AF112" s="4153"/>
      <c r="AG112" s="4170"/>
      <c r="AH112" s="4153"/>
      <c r="AI112" s="4153"/>
      <c r="AJ112" s="4153"/>
      <c r="AK112" s="4153"/>
      <c r="AL112" s="4175">
        <v>43466</v>
      </c>
      <c r="AM112" s="4175">
        <v>43617</v>
      </c>
      <c r="AN112" s="4162" t="s">
        <v>751</v>
      </c>
      <c r="AT112" s="884"/>
      <c r="AU112" s="884"/>
      <c r="AV112" s="884"/>
      <c r="AW112" s="884"/>
      <c r="AX112" s="884"/>
      <c r="AY112" s="884"/>
      <c r="AZ112" s="884"/>
      <c r="BA112" s="884"/>
      <c r="BB112" s="884"/>
      <c r="BC112" s="884"/>
      <c r="BD112" s="884"/>
      <c r="BE112" s="884"/>
      <c r="BF112" s="884"/>
      <c r="BG112" s="884"/>
      <c r="BH112" s="884"/>
      <c r="BI112" s="884"/>
      <c r="BJ112" s="884"/>
      <c r="BK112" s="884"/>
      <c r="BL112" s="884"/>
      <c r="BM112" s="884"/>
      <c r="BN112" s="884"/>
      <c r="BO112" s="884"/>
      <c r="BP112" s="884"/>
      <c r="BQ112" s="884"/>
      <c r="BR112" s="884"/>
      <c r="BS112" s="884"/>
      <c r="BT112" s="884"/>
      <c r="BU112" s="884"/>
      <c r="BV112" s="884"/>
      <c r="BW112" s="884"/>
      <c r="BX112" s="884"/>
      <c r="BY112" s="884"/>
      <c r="BZ112" s="884"/>
      <c r="CA112" s="884"/>
      <c r="CB112" s="884"/>
      <c r="CC112" s="884"/>
      <c r="CD112" s="884"/>
      <c r="CE112" s="884"/>
      <c r="CF112" s="884"/>
      <c r="CG112" s="884"/>
      <c r="CH112" s="884"/>
      <c r="CI112" s="884"/>
      <c r="CJ112" s="884"/>
      <c r="CK112" s="884"/>
      <c r="CL112" s="884"/>
      <c r="CM112" s="884"/>
      <c r="CN112" s="884"/>
      <c r="CO112" s="884"/>
      <c r="CP112" s="884"/>
      <c r="CQ112" s="884"/>
      <c r="CR112" s="884"/>
      <c r="CS112" s="884"/>
      <c r="CT112" s="884"/>
      <c r="CU112" s="884"/>
      <c r="CV112" s="884"/>
      <c r="CW112" s="884"/>
      <c r="CX112" s="884"/>
      <c r="CY112" s="884"/>
      <c r="CZ112" s="884"/>
      <c r="DA112" s="884"/>
      <c r="DB112" s="884"/>
      <c r="DC112" s="884"/>
      <c r="DD112" s="884"/>
      <c r="DE112" s="884"/>
      <c r="DF112" s="884"/>
      <c r="DG112" s="884"/>
      <c r="DH112" s="884"/>
      <c r="DI112" s="884"/>
      <c r="DJ112" s="884"/>
      <c r="DK112" s="884"/>
      <c r="DL112" s="884"/>
      <c r="DM112" s="884"/>
      <c r="DN112" s="884"/>
      <c r="DO112" s="884"/>
      <c r="DP112" s="884"/>
      <c r="DQ112" s="884"/>
      <c r="DR112" s="884"/>
      <c r="DS112" s="884"/>
      <c r="DT112" s="884"/>
      <c r="DU112" s="884"/>
      <c r="DV112" s="884"/>
      <c r="DW112" s="884"/>
      <c r="DX112" s="884"/>
      <c r="DY112" s="884"/>
      <c r="DZ112" s="884"/>
      <c r="EA112" s="884"/>
      <c r="EB112" s="884"/>
      <c r="EC112" s="884"/>
      <c r="ED112" s="884"/>
      <c r="EE112" s="884"/>
      <c r="EF112" s="884"/>
      <c r="EG112" s="884"/>
      <c r="EH112" s="884"/>
      <c r="EI112" s="884"/>
      <c r="EJ112" s="884"/>
      <c r="EK112" s="884"/>
      <c r="EL112" s="884"/>
      <c r="EM112" s="884"/>
      <c r="EN112" s="884"/>
      <c r="EO112" s="884"/>
      <c r="EP112" s="884"/>
      <c r="EQ112" s="884"/>
      <c r="ER112" s="884"/>
      <c r="ES112" s="884"/>
      <c r="ET112" s="884"/>
      <c r="EU112" s="884"/>
      <c r="EV112" s="884"/>
      <c r="EW112" s="884"/>
      <c r="EX112" s="884"/>
      <c r="EY112" s="884"/>
      <c r="EZ112" s="884"/>
      <c r="FA112" s="884"/>
      <c r="FB112" s="884"/>
      <c r="FC112" s="884"/>
      <c r="FD112" s="884"/>
      <c r="FE112" s="884"/>
      <c r="FF112" s="884"/>
      <c r="FG112" s="884"/>
      <c r="FH112" s="884"/>
      <c r="FI112" s="884"/>
      <c r="FJ112" s="884"/>
      <c r="FK112" s="884"/>
      <c r="FL112" s="884"/>
      <c r="FM112" s="884"/>
      <c r="FN112" s="884"/>
      <c r="FO112" s="884"/>
      <c r="FP112" s="884"/>
      <c r="FQ112" s="884"/>
      <c r="FR112" s="884"/>
      <c r="FS112" s="884"/>
      <c r="FT112" s="884"/>
      <c r="FU112" s="884"/>
      <c r="FV112" s="884"/>
      <c r="FW112" s="884"/>
      <c r="FX112" s="884"/>
      <c r="FY112" s="884"/>
      <c r="FZ112" s="884"/>
      <c r="GA112" s="884"/>
      <c r="GB112" s="884"/>
      <c r="GC112" s="884"/>
      <c r="GD112" s="884"/>
      <c r="GE112" s="884"/>
      <c r="GF112" s="884"/>
      <c r="GG112" s="884"/>
      <c r="GH112" s="884"/>
      <c r="GI112" s="884"/>
      <c r="GJ112" s="884"/>
      <c r="GK112" s="884"/>
      <c r="GL112" s="884"/>
      <c r="GM112" s="884"/>
      <c r="GN112" s="884"/>
      <c r="GO112" s="884"/>
      <c r="GP112" s="884"/>
      <c r="GQ112" s="884"/>
      <c r="GR112" s="884"/>
      <c r="GS112" s="884"/>
      <c r="GT112" s="884"/>
      <c r="GU112" s="884"/>
      <c r="GV112" s="884"/>
      <c r="GW112" s="884"/>
      <c r="GX112" s="884"/>
      <c r="GY112" s="884"/>
      <c r="GZ112" s="884"/>
      <c r="HA112" s="884"/>
      <c r="HB112" s="884"/>
      <c r="HC112" s="884"/>
      <c r="HD112" s="884"/>
      <c r="HE112" s="884"/>
      <c r="HF112" s="884"/>
      <c r="HG112" s="884"/>
      <c r="HH112" s="884"/>
      <c r="HI112" s="884"/>
      <c r="HJ112" s="884"/>
      <c r="HK112" s="884"/>
      <c r="HL112" s="884"/>
      <c r="HM112" s="884"/>
      <c r="HN112" s="884"/>
      <c r="HO112" s="884"/>
      <c r="HP112" s="884"/>
      <c r="HQ112" s="884"/>
      <c r="HR112" s="884"/>
      <c r="HS112" s="884"/>
      <c r="HT112" s="884"/>
      <c r="HU112" s="884"/>
      <c r="HV112" s="884"/>
      <c r="HW112" s="884"/>
      <c r="HX112" s="884"/>
      <c r="HY112" s="884"/>
      <c r="HZ112" s="884"/>
      <c r="IA112" s="884"/>
      <c r="IB112" s="884"/>
      <c r="IC112" s="884"/>
      <c r="ID112" s="884"/>
      <c r="IE112" s="884"/>
      <c r="IF112" s="884"/>
      <c r="IG112" s="884"/>
      <c r="IH112" s="884"/>
      <c r="II112" s="884"/>
      <c r="IJ112" s="884"/>
      <c r="IK112" s="884"/>
      <c r="IL112" s="884"/>
      <c r="IM112" s="884"/>
      <c r="IN112" s="884"/>
      <c r="IO112" s="884"/>
      <c r="IP112" s="884"/>
      <c r="IQ112" s="884"/>
      <c r="IR112" s="884"/>
      <c r="IS112" s="884"/>
      <c r="IT112" s="884"/>
      <c r="IU112" s="884"/>
      <c r="IV112" s="884"/>
      <c r="IW112" s="884"/>
      <c r="IX112" s="884"/>
      <c r="IY112" s="884"/>
      <c r="IZ112" s="884"/>
      <c r="JA112" s="884"/>
      <c r="JB112" s="884"/>
      <c r="JC112" s="884"/>
      <c r="JD112" s="884"/>
      <c r="JE112" s="884"/>
      <c r="JF112" s="884"/>
      <c r="JG112" s="884"/>
      <c r="JH112" s="884"/>
      <c r="JI112" s="884"/>
      <c r="JJ112" s="884"/>
      <c r="JK112" s="884"/>
      <c r="JL112" s="884"/>
      <c r="JM112" s="884"/>
      <c r="JN112" s="884"/>
      <c r="JO112" s="884"/>
      <c r="JP112" s="884"/>
      <c r="JQ112" s="884"/>
      <c r="JR112" s="884"/>
      <c r="JS112" s="884"/>
      <c r="JT112" s="884"/>
      <c r="JU112" s="884"/>
      <c r="JV112" s="884"/>
      <c r="JW112" s="884"/>
    </row>
    <row r="113" spans="1:283" s="883" customFormat="1" ht="30" x14ac:dyDescent="0.2">
      <c r="A113" s="4062"/>
      <c r="B113" s="971"/>
      <c r="C113" s="985"/>
      <c r="D113" s="4136"/>
      <c r="E113" s="4110"/>
      <c r="F113" s="4110"/>
      <c r="G113" s="4131"/>
      <c r="H113" s="4142"/>
      <c r="I113" s="4027"/>
      <c r="J113" s="4131"/>
      <c r="K113" s="4131"/>
      <c r="L113" s="4131"/>
      <c r="M113" s="4139"/>
      <c r="N113" s="4160"/>
      <c r="O113" s="4133"/>
      <c r="P113" s="4172"/>
      <c r="Q113" s="2623"/>
      <c r="R113" s="996" t="s">
        <v>947</v>
      </c>
      <c r="S113" s="912">
        <v>0</v>
      </c>
      <c r="T113" s="2490" t="s">
        <v>61</v>
      </c>
      <c r="U113" s="2485" t="s">
        <v>357</v>
      </c>
      <c r="V113" s="4174"/>
      <c r="W113" s="4154"/>
      <c r="X113" s="4154"/>
      <c r="Y113" s="4171"/>
      <c r="Z113" s="4154"/>
      <c r="AA113" s="4154"/>
      <c r="AB113" s="4154"/>
      <c r="AC113" s="4154"/>
      <c r="AD113" s="4174"/>
      <c r="AE113" s="4154"/>
      <c r="AF113" s="4154"/>
      <c r="AG113" s="4171"/>
      <c r="AH113" s="4154"/>
      <c r="AI113" s="4154"/>
      <c r="AJ113" s="4154"/>
      <c r="AK113" s="4154"/>
      <c r="AL113" s="4176"/>
      <c r="AM113" s="4176"/>
      <c r="AN113" s="4163"/>
      <c r="AT113" s="884"/>
      <c r="AU113" s="884"/>
      <c r="AV113" s="884"/>
      <c r="AW113" s="884"/>
      <c r="AX113" s="884"/>
      <c r="AY113" s="884"/>
      <c r="AZ113" s="884"/>
      <c r="BA113" s="884"/>
      <c r="BB113" s="884"/>
      <c r="BC113" s="884"/>
      <c r="BD113" s="884"/>
      <c r="BE113" s="884"/>
      <c r="BF113" s="884"/>
      <c r="BG113" s="884"/>
      <c r="BH113" s="884"/>
      <c r="BI113" s="884"/>
      <c r="BJ113" s="884"/>
      <c r="BK113" s="884"/>
      <c r="BL113" s="884"/>
      <c r="BM113" s="884"/>
      <c r="BN113" s="884"/>
      <c r="BO113" s="884"/>
      <c r="BP113" s="884"/>
      <c r="BQ113" s="884"/>
      <c r="BR113" s="884"/>
      <c r="BS113" s="884"/>
      <c r="BT113" s="884"/>
      <c r="BU113" s="884"/>
      <c r="BV113" s="884"/>
      <c r="BW113" s="884"/>
      <c r="BX113" s="884"/>
      <c r="BY113" s="884"/>
      <c r="BZ113" s="884"/>
      <c r="CA113" s="884"/>
      <c r="CB113" s="884"/>
      <c r="CC113" s="884"/>
      <c r="CD113" s="884"/>
      <c r="CE113" s="884"/>
      <c r="CF113" s="884"/>
      <c r="CG113" s="884"/>
      <c r="CH113" s="884"/>
      <c r="CI113" s="884"/>
      <c r="CJ113" s="884"/>
      <c r="CK113" s="884"/>
      <c r="CL113" s="884"/>
      <c r="CM113" s="884"/>
      <c r="CN113" s="884"/>
      <c r="CO113" s="884"/>
      <c r="CP113" s="884"/>
      <c r="CQ113" s="884"/>
      <c r="CR113" s="884"/>
      <c r="CS113" s="884"/>
      <c r="CT113" s="884"/>
      <c r="CU113" s="884"/>
      <c r="CV113" s="884"/>
      <c r="CW113" s="884"/>
      <c r="CX113" s="884"/>
      <c r="CY113" s="884"/>
      <c r="CZ113" s="884"/>
      <c r="DA113" s="884"/>
      <c r="DB113" s="884"/>
      <c r="DC113" s="884"/>
      <c r="DD113" s="884"/>
      <c r="DE113" s="884"/>
      <c r="DF113" s="884"/>
      <c r="DG113" s="884"/>
      <c r="DH113" s="884"/>
      <c r="DI113" s="884"/>
      <c r="DJ113" s="884"/>
      <c r="DK113" s="884"/>
      <c r="DL113" s="884"/>
      <c r="DM113" s="884"/>
      <c r="DN113" s="884"/>
      <c r="DO113" s="884"/>
      <c r="DP113" s="884"/>
      <c r="DQ113" s="884"/>
      <c r="DR113" s="884"/>
      <c r="DS113" s="884"/>
      <c r="DT113" s="884"/>
      <c r="DU113" s="884"/>
      <c r="DV113" s="884"/>
      <c r="DW113" s="884"/>
      <c r="DX113" s="884"/>
      <c r="DY113" s="884"/>
      <c r="DZ113" s="884"/>
      <c r="EA113" s="884"/>
      <c r="EB113" s="884"/>
      <c r="EC113" s="884"/>
      <c r="ED113" s="884"/>
      <c r="EE113" s="884"/>
      <c r="EF113" s="884"/>
      <c r="EG113" s="884"/>
      <c r="EH113" s="884"/>
      <c r="EI113" s="884"/>
      <c r="EJ113" s="884"/>
      <c r="EK113" s="884"/>
      <c r="EL113" s="884"/>
      <c r="EM113" s="884"/>
      <c r="EN113" s="884"/>
      <c r="EO113" s="884"/>
      <c r="EP113" s="884"/>
      <c r="EQ113" s="884"/>
      <c r="ER113" s="884"/>
      <c r="ES113" s="884"/>
      <c r="ET113" s="884"/>
      <c r="EU113" s="884"/>
      <c r="EV113" s="884"/>
      <c r="EW113" s="884"/>
      <c r="EX113" s="884"/>
      <c r="EY113" s="884"/>
      <c r="EZ113" s="884"/>
      <c r="FA113" s="884"/>
      <c r="FB113" s="884"/>
      <c r="FC113" s="884"/>
      <c r="FD113" s="884"/>
      <c r="FE113" s="884"/>
      <c r="FF113" s="884"/>
      <c r="FG113" s="884"/>
      <c r="FH113" s="884"/>
      <c r="FI113" s="884"/>
      <c r="FJ113" s="884"/>
      <c r="FK113" s="884"/>
      <c r="FL113" s="884"/>
      <c r="FM113" s="884"/>
      <c r="FN113" s="884"/>
      <c r="FO113" s="884"/>
      <c r="FP113" s="884"/>
      <c r="FQ113" s="884"/>
      <c r="FR113" s="884"/>
      <c r="FS113" s="884"/>
      <c r="FT113" s="884"/>
      <c r="FU113" s="884"/>
      <c r="FV113" s="884"/>
      <c r="FW113" s="884"/>
      <c r="FX113" s="884"/>
      <c r="FY113" s="884"/>
      <c r="FZ113" s="884"/>
      <c r="GA113" s="884"/>
      <c r="GB113" s="884"/>
      <c r="GC113" s="884"/>
      <c r="GD113" s="884"/>
      <c r="GE113" s="884"/>
      <c r="GF113" s="884"/>
      <c r="GG113" s="884"/>
      <c r="GH113" s="884"/>
      <c r="GI113" s="884"/>
      <c r="GJ113" s="884"/>
      <c r="GK113" s="884"/>
      <c r="GL113" s="884"/>
      <c r="GM113" s="884"/>
      <c r="GN113" s="884"/>
      <c r="GO113" s="884"/>
      <c r="GP113" s="884"/>
      <c r="GQ113" s="884"/>
      <c r="GR113" s="884"/>
      <c r="GS113" s="884"/>
      <c r="GT113" s="884"/>
      <c r="GU113" s="884"/>
      <c r="GV113" s="884"/>
      <c r="GW113" s="884"/>
      <c r="GX113" s="884"/>
      <c r="GY113" s="884"/>
      <c r="GZ113" s="884"/>
      <c r="HA113" s="884"/>
      <c r="HB113" s="884"/>
      <c r="HC113" s="884"/>
      <c r="HD113" s="884"/>
      <c r="HE113" s="884"/>
      <c r="HF113" s="884"/>
      <c r="HG113" s="884"/>
      <c r="HH113" s="884"/>
      <c r="HI113" s="884"/>
      <c r="HJ113" s="884"/>
      <c r="HK113" s="884"/>
      <c r="HL113" s="884"/>
      <c r="HM113" s="884"/>
      <c r="HN113" s="884"/>
      <c r="HO113" s="884"/>
      <c r="HP113" s="884"/>
      <c r="HQ113" s="884"/>
      <c r="HR113" s="884"/>
      <c r="HS113" s="884"/>
      <c r="HT113" s="884"/>
      <c r="HU113" s="884"/>
      <c r="HV113" s="884"/>
      <c r="HW113" s="884"/>
      <c r="HX113" s="884"/>
      <c r="HY113" s="884"/>
      <c r="HZ113" s="884"/>
      <c r="IA113" s="884"/>
      <c r="IB113" s="884"/>
      <c r="IC113" s="884"/>
      <c r="ID113" s="884"/>
      <c r="IE113" s="884"/>
      <c r="IF113" s="884"/>
      <c r="IG113" s="884"/>
      <c r="IH113" s="884"/>
      <c r="II113" s="884"/>
      <c r="IJ113" s="884"/>
      <c r="IK113" s="884"/>
      <c r="IL113" s="884"/>
      <c r="IM113" s="884"/>
      <c r="IN113" s="884"/>
      <c r="IO113" s="884"/>
      <c r="IP113" s="884"/>
      <c r="IQ113" s="884"/>
      <c r="IR113" s="884"/>
      <c r="IS113" s="884"/>
      <c r="IT113" s="884"/>
      <c r="IU113" s="884"/>
      <c r="IV113" s="884"/>
      <c r="IW113" s="884"/>
      <c r="IX113" s="884"/>
      <c r="IY113" s="884"/>
      <c r="IZ113" s="884"/>
      <c r="JA113" s="884"/>
      <c r="JB113" s="884"/>
      <c r="JC113" s="884"/>
      <c r="JD113" s="884"/>
      <c r="JE113" s="884"/>
      <c r="JF113" s="884"/>
      <c r="JG113" s="884"/>
      <c r="JH113" s="884"/>
      <c r="JI113" s="884"/>
      <c r="JJ113" s="884"/>
      <c r="JK113" s="884"/>
      <c r="JL113" s="884"/>
      <c r="JM113" s="884"/>
      <c r="JN113" s="884"/>
      <c r="JO113" s="884"/>
      <c r="JP113" s="884"/>
      <c r="JQ113" s="884"/>
      <c r="JR113" s="884"/>
      <c r="JS113" s="884"/>
      <c r="JT113" s="884"/>
      <c r="JU113" s="884"/>
      <c r="JV113" s="884"/>
      <c r="JW113" s="884"/>
    </row>
    <row r="114" spans="1:283" s="883" customFormat="1" ht="30" x14ac:dyDescent="0.2">
      <c r="A114" s="4062"/>
      <c r="B114" s="971"/>
      <c r="C114" s="985"/>
      <c r="D114" s="4136"/>
      <c r="E114" s="4110"/>
      <c r="F114" s="4110"/>
      <c r="G114" s="4131"/>
      <c r="H114" s="4142"/>
      <c r="I114" s="4027"/>
      <c r="J114" s="4131"/>
      <c r="K114" s="4131"/>
      <c r="L114" s="4131"/>
      <c r="M114" s="4139"/>
      <c r="N114" s="4160"/>
      <c r="O114" s="4133"/>
      <c r="P114" s="4172"/>
      <c r="Q114" s="2623" t="s">
        <v>948</v>
      </c>
      <c r="R114" s="996" t="s">
        <v>949</v>
      </c>
      <c r="S114" s="912">
        <v>0</v>
      </c>
      <c r="T114" s="2490" t="s">
        <v>61</v>
      </c>
      <c r="U114" s="2485" t="s">
        <v>357</v>
      </c>
      <c r="V114" s="4174"/>
      <c r="W114" s="4154"/>
      <c r="X114" s="4154"/>
      <c r="Y114" s="4171"/>
      <c r="Z114" s="4154"/>
      <c r="AA114" s="4154"/>
      <c r="AB114" s="4154"/>
      <c r="AC114" s="4154"/>
      <c r="AD114" s="4174"/>
      <c r="AE114" s="4154"/>
      <c r="AF114" s="4154"/>
      <c r="AG114" s="4171"/>
      <c r="AH114" s="4154"/>
      <c r="AI114" s="4154"/>
      <c r="AJ114" s="4154"/>
      <c r="AK114" s="4154"/>
      <c r="AL114" s="4176"/>
      <c r="AM114" s="4176"/>
      <c r="AN114" s="4163"/>
      <c r="AT114" s="884"/>
      <c r="AU114" s="884"/>
      <c r="AV114" s="884"/>
      <c r="AW114" s="884"/>
      <c r="AX114" s="884"/>
      <c r="AY114" s="884"/>
      <c r="AZ114" s="884"/>
      <c r="BA114" s="884"/>
      <c r="BB114" s="884"/>
      <c r="BC114" s="884"/>
      <c r="BD114" s="884"/>
      <c r="BE114" s="884"/>
      <c r="BF114" s="884"/>
      <c r="BG114" s="884"/>
      <c r="BH114" s="884"/>
      <c r="BI114" s="884"/>
      <c r="BJ114" s="884"/>
      <c r="BK114" s="884"/>
      <c r="BL114" s="884"/>
      <c r="BM114" s="884"/>
      <c r="BN114" s="884"/>
      <c r="BO114" s="884"/>
      <c r="BP114" s="884"/>
      <c r="BQ114" s="884"/>
      <c r="BR114" s="884"/>
      <c r="BS114" s="884"/>
      <c r="BT114" s="884"/>
      <c r="BU114" s="884"/>
      <c r="BV114" s="884"/>
      <c r="BW114" s="884"/>
      <c r="BX114" s="884"/>
      <c r="BY114" s="884"/>
      <c r="BZ114" s="884"/>
      <c r="CA114" s="884"/>
      <c r="CB114" s="884"/>
      <c r="CC114" s="884"/>
      <c r="CD114" s="884"/>
      <c r="CE114" s="884"/>
      <c r="CF114" s="884"/>
      <c r="CG114" s="884"/>
      <c r="CH114" s="884"/>
      <c r="CI114" s="884"/>
      <c r="CJ114" s="884"/>
      <c r="CK114" s="884"/>
      <c r="CL114" s="884"/>
      <c r="CM114" s="884"/>
      <c r="CN114" s="884"/>
      <c r="CO114" s="884"/>
      <c r="CP114" s="884"/>
      <c r="CQ114" s="884"/>
      <c r="CR114" s="884"/>
      <c r="CS114" s="884"/>
      <c r="CT114" s="884"/>
      <c r="CU114" s="884"/>
      <c r="CV114" s="884"/>
      <c r="CW114" s="884"/>
      <c r="CX114" s="884"/>
      <c r="CY114" s="884"/>
      <c r="CZ114" s="884"/>
      <c r="DA114" s="884"/>
      <c r="DB114" s="884"/>
      <c r="DC114" s="884"/>
      <c r="DD114" s="884"/>
      <c r="DE114" s="884"/>
      <c r="DF114" s="884"/>
      <c r="DG114" s="884"/>
      <c r="DH114" s="884"/>
      <c r="DI114" s="884"/>
      <c r="DJ114" s="884"/>
      <c r="DK114" s="884"/>
      <c r="DL114" s="884"/>
      <c r="DM114" s="884"/>
      <c r="DN114" s="884"/>
      <c r="DO114" s="884"/>
      <c r="DP114" s="884"/>
      <c r="DQ114" s="884"/>
      <c r="DR114" s="884"/>
      <c r="DS114" s="884"/>
      <c r="DT114" s="884"/>
      <c r="DU114" s="884"/>
      <c r="DV114" s="884"/>
      <c r="DW114" s="884"/>
      <c r="DX114" s="884"/>
      <c r="DY114" s="884"/>
      <c r="DZ114" s="884"/>
      <c r="EA114" s="884"/>
      <c r="EB114" s="884"/>
      <c r="EC114" s="884"/>
      <c r="ED114" s="884"/>
      <c r="EE114" s="884"/>
      <c r="EF114" s="884"/>
      <c r="EG114" s="884"/>
      <c r="EH114" s="884"/>
      <c r="EI114" s="884"/>
      <c r="EJ114" s="884"/>
      <c r="EK114" s="884"/>
      <c r="EL114" s="884"/>
      <c r="EM114" s="884"/>
      <c r="EN114" s="884"/>
      <c r="EO114" s="884"/>
      <c r="EP114" s="884"/>
      <c r="EQ114" s="884"/>
      <c r="ER114" s="884"/>
      <c r="ES114" s="884"/>
      <c r="ET114" s="884"/>
      <c r="EU114" s="884"/>
      <c r="EV114" s="884"/>
      <c r="EW114" s="884"/>
      <c r="EX114" s="884"/>
      <c r="EY114" s="884"/>
      <c r="EZ114" s="884"/>
      <c r="FA114" s="884"/>
      <c r="FB114" s="884"/>
      <c r="FC114" s="884"/>
      <c r="FD114" s="884"/>
      <c r="FE114" s="884"/>
      <c r="FF114" s="884"/>
      <c r="FG114" s="884"/>
      <c r="FH114" s="884"/>
      <c r="FI114" s="884"/>
      <c r="FJ114" s="884"/>
      <c r="FK114" s="884"/>
      <c r="FL114" s="884"/>
      <c r="FM114" s="884"/>
      <c r="FN114" s="884"/>
      <c r="FO114" s="884"/>
      <c r="FP114" s="884"/>
      <c r="FQ114" s="884"/>
      <c r="FR114" s="884"/>
      <c r="FS114" s="884"/>
      <c r="FT114" s="884"/>
      <c r="FU114" s="884"/>
      <c r="FV114" s="884"/>
      <c r="FW114" s="884"/>
      <c r="FX114" s="884"/>
      <c r="FY114" s="884"/>
      <c r="FZ114" s="884"/>
      <c r="GA114" s="884"/>
      <c r="GB114" s="884"/>
      <c r="GC114" s="884"/>
      <c r="GD114" s="884"/>
      <c r="GE114" s="884"/>
      <c r="GF114" s="884"/>
      <c r="GG114" s="884"/>
      <c r="GH114" s="884"/>
      <c r="GI114" s="884"/>
      <c r="GJ114" s="884"/>
      <c r="GK114" s="884"/>
      <c r="GL114" s="884"/>
      <c r="GM114" s="884"/>
      <c r="GN114" s="884"/>
      <c r="GO114" s="884"/>
      <c r="GP114" s="884"/>
      <c r="GQ114" s="884"/>
      <c r="GR114" s="884"/>
      <c r="GS114" s="884"/>
      <c r="GT114" s="884"/>
      <c r="GU114" s="884"/>
      <c r="GV114" s="884"/>
      <c r="GW114" s="884"/>
      <c r="GX114" s="884"/>
      <c r="GY114" s="884"/>
      <c r="GZ114" s="884"/>
      <c r="HA114" s="884"/>
      <c r="HB114" s="884"/>
      <c r="HC114" s="884"/>
      <c r="HD114" s="884"/>
      <c r="HE114" s="884"/>
      <c r="HF114" s="884"/>
      <c r="HG114" s="884"/>
      <c r="HH114" s="884"/>
      <c r="HI114" s="884"/>
      <c r="HJ114" s="884"/>
      <c r="HK114" s="884"/>
      <c r="HL114" s="884"/>
      <c r="HM114" s="884"/>
      <c r="HN114" s="884"/>
      <c r="HO114" s="884"/>
      <c r="HP114" s="884"/>
      <c r="HQ114" s="884"/>
      <c r="HR114" s="884"/>
      <c r="HS114" s="884"/>
      <c r="HT114" s="884"/>
      <c r="HU114" s="884"/>
      <c r="HV114" s="884"/>
      <c r="HW114" s="884"/>
      <c r="HX114" s="884"/>
      <c r="HY114" s="884"/>
      <c r="HZ114" s="884"/>
      <c r="IA114" s="884"/>
      <c r="IB114" s="884"/>
      <c r="IC114" s="884"/>
      <c r="ID114" s="884"/>
      <c r="IE114" s="884"/>
      <c r="IF114" s="884"/>
      <c r="IG114" s="884"/>
      <c r="IH114" s="884"/>
      <c r="II114" s="884"/>
      <c r="IJ114" s="884"/>
      <c r="IK114" s="884"/>
      <c r="IL114" s="884"/>
      <c r="IM114" s="884"/>
      <c r="IN114" s="884"/>
      <c r="IO114" s="884"/>
      <c r="IP114" s="884"/>
      <c r="IQ114" s="884"/>
      <c r="IR114" s="884"/>
      <c r="IS114" s="884"/>
      <c r="IT114" s="884"/>
      <c r="IU114" s="884"/>
      <c r="IV114" s="884"/>
      <c r="IW114" s="884"/>
      <c r="IX114" s="884"/>
      <c r="IY114" s="884"/>
      <c r="IZ114" s="884"/>
      <c r="JA114" s="884"/>
      <c r="JB114" s="884"/>
      <c r="JC114" s="884"/>
      <c r="JD114" s="884"/>
      <c r="JE114" s="884"/>
      <c r="JF114" s="884"/>
      <c r="JG114" s="884"/>
      <c r="JH114" s="884"/>
      <c r="JI114" s="884"/>
      <c r="JJ114" s="884"/>
      <c r="JK114" s="884"/>
      <c r="JL114" s="884"/>
      <c r="JM114" s="884"/>
      <c r="JN114" s="884"/>
      <c r="JO114" s="884"/>
      <c r="JP114" s="884"/>
      <c r="JQ114" s="884"/>
      <c r="JR114" s="884"/>
      <c r="JS114" s="884"/>
      <c r="JT114" s="884"/>
      <c r="JU114" s="884"/>
      <c r="JV114" s="884"/>
      <c r="JW114" s="884"/>
    </row>
    <row r="115" spans="1:283" s="883" customFormat="1" ht="30" x14ac:dyDescent="0.2">
      <c r="A115" s="4062"/>
      <c r="B115" s="971"/>
      <c r="C115" s="985"/>
      <c r="D115" s="4136"/>
      <c r="E115" s="4110"/>
      <c r="F115" s="4110"/>
      <c r="G115" s="4131"/>
      <c r="H115" s="4142"/>
      <c r="I115" s="4027"/>
      <c r="J115" s="4131"/>
      <c r="K115" s="4131"/>
      <c r="L115" s="4131"/>
      <c r="M115" s="4139"/>
      <c r="N115" s="4160"/>
      <c r="O115" s="4133"/>
      <c r="P115" s="4172"/>
      <c r="Q115" s="2623"/>
      <c r="R115" s="996" t="s">
        <v>950</v>
      </c>
      <c r="S115" s="912">
        <v>40000000</v>
      </c>
      <c r="T115" s="2490" t="s">
        <v>61</v>
      </c>
      <c r="U115" s="2485" t="s">
        <v>357</v>
      </c>
      <c r="V115" s="4174"/>
      <c r="W115" s="4154"/>
      <c r="X115" s="4154"/>
      <c r="Y115" s="4171"/>
      <c r="Z115" s="4154"/>
      <c r="AA115" s="4154"/>
      <c r="AB115" s="4154"/>
      <c r="AC115" s="4154"/>
      <c r="AD115" s="4174"/>
      <c r="AE115" s="4154"/>
      <c r="AF115" s="4154"/>
      <c r="AG115" s="4171"/>
      <c r="AH115" s="4154"/>
      <c r="AI115" s="4154"/>
      <c r="AJ115" s="4154"/>
      <c r="AK115" s="4154"/>
      <c r="AL115" s="4176"/>
      <c r="AM115" s="4176"/>
      <c r="AN115" s="4163"/>
      <c r="AT115" s="884"/>
      <c r="AU115" s="884"/>
      <c r="AV115" s="884"/>
      <c r="AW115" s="884"/>
      <c r="AX115" s="884"/>
      <c r="AY115" s="884"/>
      <c r="AZ115" s="884"/>
      <c r="BA115" s="884"/>
      <c r="BB115" s="884"/>
      <c r="BC115" s="884"/>
      <c r="BD115" s="884"/>
      <c r="BE115" s="884"/>
      <c r="BF115" s="884"/>
      <c r="BG115" s="884"/>
      <c r="BH115" s="884"/>
      <c r="BI115" s="884"/>
      <c r="BJ115" s="884"/>
      <c r="BK115" s="884"/>
      <c r="BL115" s="884"/>
      <c r="BM115" s="884"/>
      <c r="BN115" s="884"/>
      <c r="BO115" s="884"/>
      <c r="BP115" s="884"/>
      <c r="BQ115" s="884"/>
      <c r="BR115" s="884"/>
      <c r="BS115" s="884"/>
      <c r="BT115" s="884"/>
      <c r="BU115" s="884"/>
      <c r="BV115" s="884"/>
      <c r="BW115" s="884"/>
      <c r="BX115" s="884"/>
      <c r="BY115" s="884"/>
      <c r="BZ115" s="884"/>
      <c r="CA115" s="884"/>
      <c r="CB115" s="884"/>
      <c r="CC115" s="884"/>
      <c r="CD115" s="884"/>
      <c r="CE115" s="884"/>
      <c r="CF115" s="884"/>
      <c r="CG115" s="884"/>
      <c r="CH115" s="884"/>
      <c r="CI115" s="884"/>
      <c r="CJ115" s="884"/>
      <c r="CK115" s="884"/>
      <c r="CL115" s="884"/>
      <c r="CM115" s="884"/>
      <c r="CN115" s="884"/>
      <c r="CO115" s="884"/>
      <c r="CP115" s="884"/>
      <c r="CQ115" s="884"/>
      <c r="CR115" s="884"/>
      <c r="CS115" s="884"/>
      <c r="CT115" s="884"/>
      <c r="CU115" s="884"/>
      <c r="CV115" s="884"/>
      <c r="CW115" s="884"/>
      <c r="CX115" s="884"/>
      <c r="CY115" s="884"/>
      <c r="CZ115" s="884"/>
      <c r="DA115" s="884"/>
      <c r="DB115" s="884"/>
      <c r="DC115" s="884"/>
      <c r="DD115" s="884"/>
      <c r="DE115" s="884"/>
      <c r="DF115" s="884"/>
      <c r="DG115" s="884"/>
      <c r="DH115" s="884"/>
      <c r="DI115" s="884"/>
      <c r="DJ115" s="884"/>
      <c r="DK115" s="884"/>
      <c r="DL115" s="884"/>
      <c r="DM115" s="884"/>
      <c r="DN115" s="884"/>
      <c r="DO115" s="884"/>
      <c r="DP115" s="884"/>
      <c r="DQ115" s="884"/>
      <c r="DR115" s="884"/>
      <c r="DS115" s="884"/>
      <c r="DT115" s="884"/>
      <c r="DU115" s="884"/>
      <c r="DV115" s="884"/>
      <c r="DW115" s="884"/>
      <c r="DX115" s="884"/>
      <c r="DY115" s="884"/>
      <c r="DZ115" s="884"/>
      <c r="EA115" s="884"/>
      <c r="EB115" s="884"/>
      <c r="EC115" s="884"/>
      <c r="ED115" s="884"/>
      <c r="EE115" s="884"/>
      <c r="EF115" s="884"/>
      <c r="EG115" s="884"/>
      <c r="EH115" s="884"/>
      <c r="EI115" s="884"/>
      <c r="EJ115" s="884"/>
      <c r="EK115" s="884"/>
      <c r="EL115" s="884"/>
      <c r="EM115" s="884"/>
      <c r="EN115" s="884"/>
      <c r="EO115" s="884"/>
      <c r="EP115" s="884"/>
      <c r="EQ115" s="884"/>
      <c r="ER115" s="884"/>
      <c r="ES115" s="884"/>
      <c r="ET115" s="884"/>
      <c r="EU115" s="884"/>
      <c r="EV115" s="884"/>
      <c r="EW115" s="884"/>
      <c r="EX115" s="884"/>
      <c r="EY115" s="884"/>
      <c r="EZ115" s="884"/>
      <c r="FA115" s="884"/>
      <c r="FB115" s="884"/>
      <c r="FC115" s="884"/>
      <c r="FD115" s="884"/>
      <c r="FE115" s="884"/>
      <c r="FF115" s="884"/>
      <c r="FG115" s="884"/>
      <c r="FH115" s="884"/>
      <c r="FI115" s="884"/>
      <c r="FJ115" s="884"/>
      <c r="FK115" s="884"/>
      <c r="FL115" s="884"/>
      <c r="FM115" s="884"/>
      <c r="FN115" s="884"/>
      <c r="FO115" s="884"/>
      <c r="FP115" s="884"/>
      <c r="FQ115" s="884"/>
      <c r="FR115" s="884"/>
      <c r="FS115" s="884"/>
      <c r="FT115" s="884"/>
      <c r="FU115" s="884"/>
      <c r="FV115" s="884"/>
      <c r="FW115" s="884"/>
      <c r="FX115" s="884"/>
      <c r="FY115" s="884"/>
      <c r="FZ115" s="884"/>
      <c r="GA115" s="884"/>
      <c r="GB115" s="884"/>
      <c r="GC115" s="884"/>
      <c r="GD115" s="884"/>
      <c r="GE115" s="884"/>
      <c r="GF115" s="884"/>
      <c r="GG115" s="884"/>
      <c r="GH115" s="884"/>
      <c r="GI115" s="884"/>
      <c r="GJ115" s="884"/>
      <c r="GK115" s="884"/>
      <c r="GL115" s="884"/>
      <c r="GM115" s="884"/>
      <c r="GN115" s="884"/>
      <c r="GO115" s="884"/>
      <c r="GP115" s="884"/>
      <c r="GQ115" s="884"/>
      <c r="GR115" s="884"/>
      <c r="GS115" s="884"/>
      <c r="GT115" s="884"/>
      <c r="GU115" s="884"/>
      <c r="GV115" s="884"/>
      <c r="GW115" s="884"/>
      <c r="GX115" s="884"/>
      <c r="GY115" s="884"/>
      <c r="GZ115" s="884"/>
      <c r="HA115" s="884"/>
      <c r="HB115" s="884"/>
      <c r="HC115" s="884"/>
      <c r="HD115" s="884"/>
      <c r="HE115" s="884"/>
      <c r="HF115" s="884"/>
      <c r="HG115" s="884"/>
      <c r="HH115" s="884"/>
      <c r="HI115" s="884"/>
      <c r="HJ115" s="884"/>
      <c r="HK115" s="884"/>
      <c r="HL115" s="884"/>
      <c r="HM115" s="884"/>
      <c r="HN115" s="884"/>
      <c r="HO115" s="884"/>
      <c r="HP115" s="884"/>
      <c r="HQ115" s="884"/>
      <c r="HR115" s="884"/>
      <c r="HS115" s="884"/>
      <c r="HT115" s="884"/>
      <c r="HU115" s="884"/>
      <c r="HV115" s="884"/>
      <c r="HW115" s="884"/>
      <c r="HX115" s="884"/>
      <c r="HY115" s="884"/>
      <c r="HZ115" s="884"/>
      <c r="IA115" s="884"/>
      <c r="IB115" s="884"/>
      <c r="IC115" s="884"/>
      <c r="ID115" s="884"/>
      <c r="IE115" s="884"/>
      <c r="IF115" s="884"/>
      <c r="IG115" s="884"/>
      <c r="IH115" s="884"/>
      <c r="II115" s="884"/>
      <c r="IJ115" s="884"/>
      <c r="IK115" s="884"/>
      <c r="IL115" s="884"/>
      <c r="IM115" s="884"/>
      <c r="IN115" s="884"/>
      <c r="IO115" s="884"/>
      <c r="IP115" s="884"/>
      <c r="IQ115" s="884"/>
      <c r="IR115" s="884"/>
      <c r="IS115" s="884"/>
      <c r="IT115" s="884"/>
      <c r="IU115" s="884"/>
      <c r="IV115" s="884"/>
      <c r="IW115" s="884"/>
      <c r="IX115" s="884"/>
      <c r="IY115" s="884"/>
      <c r="IZ115" s="884"/>
      <c r="JA115" s="884"/>
      <c r="JB115" s="884"/>
      <c r="JC115" s="884"/>
      <c r="JD115" s="884"/>
      <c r="JE115" s="884"/>
      <c r="JF115" s="884"/>
      <c r="JG115" s="884"/>
      <c r="JH115" s="884"/>
      <c r="JI115" s="884"/>
      <c r="JJ115" s="884"/>
      <c r="JK115" s="884"/>
      <c r="JL115" s="884"/>
      <c r="JM115" s="884"/>
      <c r="JN115" s="884"/>
      <c r="JO115" s="884"/>
      <c r="JP115" s="884"/>
      <c r="JQ115" s="884"/>
      <c r="JR115" s="884"/>
      <c r="JS115" s="884"/>
      <c r="JT115" s="884"/>
      <c r="JU115" s="884"/>
      <c r="JV115" s="884"/>
      <c r="JW115" s="884"/>
    </row>
    <row r="116" spans="1:283" s="883" customFormat="1" ht="30" x14ac:dyDescent="0.2">
      <c r="A116" s="4062"/>
      <c r="B116" s="971"/>
      <c r="C116" s="985"/>
      <c r="D116" s="4136"/>
      <c r="E116" s="4110"/>
      <c r="F116" s="4110"/>
      <c r="G116" s="4131"/>
      <c r="H116" s="4142"/>
      <c r="I116" s="4027"/>
      <c r="J116" s="4131"/>
      <c r="K116" s="4131"/>
      <c r="L116" s="4131"/>
      <c r="M116" s="4139"/>
      <c r="N116" s="4160"/>
      <c r="O116" s="4133"/>
      <c r="P116" s="4172"/>
      <c r="Q116" s="2623"/>
      <c r="R116" s="996" t="s">
        <v>951</v>
      </c>
      <c r="S116" s="912">
        <v>5000000</v>
      </c>
      <c r="T116" s="2490" t="s">
        <v>61</v>
      </c>
      <c r="U116" s="2485" t="s">
        <v>357</v>
      </c>
      <c r="V116" s="4174"/>
      <c r="W116" s="4154"/>
      <c r="X116" s="4154"/>
      <c r="Y116" s="4171"/>
      <c r="Z116" s="4154"/>
      <c r="AA116" s="4154"/>
      <c r="AB116" s="4154"/>
      <c r="AC116" s="4154"/>
      <c r="AD116" s="4174"/>
      <c r="AE116" s="4154"/>
      <c r="AF116" s="4154"/>
      <c r="AG116" s="4171"/>
      <c r="AH116" s="4154"/>
      <c r="AI116" s="4154"/>
      <c r="AJ116" s="4154"/>
      <c r="AK116" s="4154"/>
      <c r="AL116" s="4176"/>
      <c r="AM116" s="4176"/>
      <c r="AN116" s="4163"/>
      <c r="AT116" s="884"/>
      <c r="AU116" s="884"/>
      <c r="AV116" s="884"/>
      <c r="AW116" s="884"/>
      <c r="AX116" s="884"/>
      <c r="AY116" s="884"/>
      <c r="AZ116" s="884"/>
      <c r="BA116" s="884"/>
      <c r="BB116" s="884"/>
      <c r="BC116" s="884"/>
      <c r="BD116" s="884"/>
      <c r="BE116" s="884"/>
      <c r="BF116" s="884"/>
      <c r="BG116" s="884"/>
      <c r="BH116" s="884"/>
      <c r="BI116" s="884"/>
      <c r="BJ116" s="884"/>
      <c r="BK116" s="884"/>
      <c r="BL116" s="884"/>
      <c r="BM116" s="884"/>
      <c r="BN116" s="884"/>
      <c r="BO116" s="884"/>
      <c r="BP116" s="884"/>
      <c r="BQ116" s="884"/>
      <c r="BR116" s="884"/>
      <c r="BS116" s="884"/>
      <c r="BT116" s="884"/>
      <c r="BU116" s="884"/>
      <c r="BV116" s="884"/>
      <c r="BW116" s="884"/>
      <c r="BX116" s="884"/>
      <c r="BY116" s="884"/>
      <c r="BZ116" s="884"/>
      <c r="CA116" s="884"/>
      <c r="CB116" s="884"/>
      <c r="CC116" s="884"/>
      <c r="CD116" s="884"/>
      <c r="CE116" s="884"/>
      <c r="CF116" s="884"/>
      <c r="CG116" s="884"/>
      <c r="CH116" s="884"/>
      <c r="CI116" s="884"/>
      <c r="CJ116" s="884"/>
      <c r="CK116" s="884"/>
      <c r="CL116" s="884"/>
      <c r="CM116" s="884"/>
      <c r="CN116" s="884"/>
      <c r="CO116" s="884"/>
      <c r="CP116" s="884"/>
      <c r="CQ116" s="884"/>
      <c r="CR116" s="884"/>
      <c r="CS116" s="884"/>
      <c r="CT116" s="884"/>
      <c r="CU116" s="884"/>
      <c r="CV116" s="884"/>
      <c r="CW116" s="884"/>
      <c r="CX116" s="884"/>
      <c r="CY116" s="884"/>
      <c r="CZ116" s="884"/>
      <c r="DA116" s="884"/>
      <c r="DB116" s="884"/>
      <c r="DC116" s="884"/>
      <c r="DD116" s="884"/>
      <c r="DE116" s="884"/>
      <c r="DF116" s="884"/>
      <c r="DG116" s="884"/>
      <c r="DH116" s="884"/>
      <c r="DI116" s="884"/>
      <c r="DJ116" s="884"/>
      <c r="DK116" s="884"/>
      <c r="DL116" s="884"/>
      <c r="DM116" s="884"/>
      <c r="DN116" s="884"/>
      <c r="DO116" s="884"/>
      <c r="DP116" s="884"/>
      <c r="DQ116" s="884"/>
      <c r="DR116" s="884"/>
      <c r="DS116" s="884"/>
      <c r="DT116" s="884"/>
      <c r="DU116" s="884"/>
      <c r="DV116" s="884"/>
      <c r="DW116" s="884"/>
      <c r="DX116" s="884"/>
      <c r="DY116" s="884"/>
      <c r="DZ116" s="884"/>
      <c r="EA116" s="884"/>
      <c r="EB116" s="884"/>
      <c r="EC116" s="884"/>
      <c r="ED116" s="884"/>
      <c r="EE116" s="884"/>
      <c r="EF116" s="884"/>
      <c r="EG116" s="884"/>
      <c r="EH116" s="884"/>
      <c r="EI116" s="884"/>
      <c r="EJ116" s="884"/>
      <c r="EK116" s="884"/>
      <c r="EL116" s="884"/>
      <c r="EM116" s="884"/>
      <c r="EN116" s="884"/>
      <c r="EO116" s="884"/>
      <c r="EP116" s="884"/>
      <c r="EQ116" s="884"/>
      <c r="ER116" s="884"/>
      <c r="ES116" s="884"/>
      <c r="ET116" s="884"/>
      <c r="EU116" s="884"/>
      <c r="EV116" s="884"/>
      <c r="EW116" s="884"/>
      <c r="EX116" s="884"/>
      <c r="EY116" s="884"/>
      <c r="EZ116" s="884"/>
      <c r="FA116" s="884"/>
      <c r="FB116" s="884"/>
      <c r="FC116" s="884"/>
      <c r="FD116" s="884"/>
      <c r="FE116" s="884"/>
      <c r="FF116" s="884"/>
      <c r="FG116" s="884"/>
      <c r="FH116" s="884"/>
      <c r="FI116" s="884"/>
      <c r="FJ116" s="884"/>
      <c r="FK116" s="884"/>
      <c r="FL116" s="884"/>
      <c r="FM116" s="884"/>
      <c r="FN116" s="884"/>
      <c r="FO116" s="884"/>
      <c r="FP116" s="884"/>
      <c r="FQ116" s="884"/>
      <c r="FR116" s="884"/>
      <c r="FS116" s="884"/>
      <c r="FT116" s="884"/>
      <c r="FU116" s="884"/>
      <c r="FV116" s="884"/>
      <c r="FW116" s="884"/>
      <c r="FX116" s="884"/>
      <c r="FY116" s="884"/>
      <c r="FZ116" s="884"/>
      <c r="GA116" s="884"/>
      <c r="GB116" s="884"/>
      <c r="GC116" s="884"/>
      <c r="GD116" s="884"/>
      <c r="GE116" s="884"/>
      <c r="GF116" s="884"/>
      <c r="GG116" s="884"/>
      <c r="GH116" s="884"/>
      <c r="GI116" s="884"/>
      <c r="GJ116" s="884"/>
      <c r="GK116" s="884"/>
      <c r="GL116" s="884"/>
      <c r="GM116" s="884"/>
      <c r="GN116" s="884"/>
      <c r="GO116" s="884"/>
      <c r="GP116" s="884"/>
      <c r="GQ116" s="884"/>
      <c r="GR116" s="884"/>
      <c r="GS116" s="884"/>
      <c r="GT116" s="884"/>
      <c r="GU116" s="884"/>
      <c r="GV116" s="884"/>
      <c r="GW116" s="884"/>
      <c r="GX116" s="884"/>
      <c r="GY116" s="884"/>
      <c r="GZ116" s="884"/>
      <c r="HA116" s="884"/>
      <c r="HB116" s="884"/>
      <c r="HC116" s="884"/>
      <c r="HD116" s="884"/>
      <c r="HE116" s="884"/>
      <c r="HF116" s="884"/>
      <c r="HG116" s="884"/>
      <c r="HH116" s="884"/>
      <c r="HI116" s="884"/>
      <c r="HJ116" s="884"/>
      <c r="HK116" s="884"/>
      <c r="HL116" s="884"/>
      <c r="HM116" s="884"/>
      <c r="HN116" s="884"/>
      <c r="HO116" s="884"/>
      <c r="HP116" s="884"/>
      <c r="HQ116" s="884"/>
      <c r="HR116" s="884"/>
      <c r="HS116" s="884"/>
      <c r="HT116" s="884"/>
      <c r="HU116" s="884"/>
      <c r="HV116" s="884"/>
      <c r="HW116" s="884"/>
      <c r="HX116" s="884"/>
      <c r="HY116" s="884"/>
      <c r="HZ116" s="884"/>
      <c r="IA116" s="884"/>
      <c r="IB116" s="884"/>
      <c r="IC116" s="884"/>
      <c r="ID116" s="884"/>
      <c r="IE116" s="884"/>
      <c r="IF116" s="884"/>
      <c r="IG116" s="884"/>
      <c r="IH116" s="884"/>
      <c r="II116" s="884"/>
      <c r="IJ116" s="884"/>
      <c r="IK116" s="884"/>
      <c r="IL116" s="884"/>
      <c r="IM116" s="884"/>
      <c r="IN116" s="884"/>
      <c r="IO116" s="884"/>
      <c r="IP116" s="884"/>
      <c r="IQ116" s="884"/>
      <c r="IR116" s="884"/>
      <c r="IS116" s="884"/>
      <c r="IT116" s="884"/>
      <c r="IU116" s="884"/>
      <c r="IV116" s="884"/>
      <c r="IW116" s="884"/>
      <c r="IX116" s="884"/>
      <c r="IY116" s="884"/>
      <c r="IZ116" s="884"/>
      <c r="JA116" s="884"/>
      <c r="JB116" s="884"/>
      <c r="JC116" s="884"/>
      <c r="JD116" s="884"/>
      <c r="JE116" s="884"/>
      <c r="JF116" s="884"/>
      <c r="JG116" s="884"/>
      <c r="JH116" s="884"/>
      <c r="JI116" s="884"/>
      <c r="JJ116" s="884"/>
      <c r="JK116" s="884"/>
      <c r="JL116" s="884"/>
      <c r="JM116" s="884"/>
      <c r="JN116" s="884"/>
      <c r="JO116" s="884"/>
      <c r="JP116" s="884"/>
      <c r="JQ116" s="884"/>
      <c r="JR116" s="884"/>
      <c r="JS116" s="884"/>
      <c r="JT116" s="884"/>
      <c r="JU116" s="884"/>
      <c r="JV116" s="884"/>
      <c r="JW116" s="884"/>
    </row>
    <row r="117" spans="1:283" s="883" customFormat="1" ht="31.5" customHeight="1" x14ac:dyDescent="0.2">
      <c r="A117" s="4062"/>
      <c r="B117" s="971"/>
      <c r="C117" s="985"/>
      <c r="D117" s="4136"/>
      <c r="E117" s="4110"/>
      <c r="F117" s="4110"/>
      <c r="G117" s="4131"/>
      <c r="H117" s="4142"/>
      <c r="I117" s="4027"/>
      <c r="J117" s="4131"/>
      <c r="K117" s="4131"/>
      <c r="L117" s="4131"/>
      <c r="M117" s="4139"/>
      <c r="N117" s="4160"/>
      <c r="O117" s="4133"/>
      <c r="P117" s="4172"/>
      <c r="Q117" s="2623"/>
      <c r="R117" s="996" t="s">
        <v>936</v>
      </c>
      <c r="S117" s="912">
        <v>1000000</v>
      </c>
      <c r="T117" s="2490" t="s">
        <v>61</v>
      </c>
      <c r="U117" s="2485" t="s">
        <v>357</v>
      </c>
      <c r="V117" s="4174"/>
      <c r="W117" s="4154"/>
      <c r="X117" s="4154"/>
      <c r="Y117" s="4171"/>
      <c r="Z117" s="4154"/>
      <c r="AA117" s="4154"/>
      <c r="AB117" s="4154"/>
      <c r="AC117" s="4154"/>
      <c r="AD117" s="4174"/>
      <c r="AE117" s="4154"/>
      <c r="AF117" s="4154"/>
      <c r="AG117" s="4171"/>
      <c r="AH117" s="4154"/>
      <c r="AI117" s="4154"/>
      <c r="AJ117" s="4154"/>
      <c r="AK117" s="4154"/>
      <c r="AL117" s="4176"/>
      <c r="AM117" s="4176"/>
      <c r="AN117" s="4163"/>
      <c r="AT117" s="884"/>
      <c r="AU117" s="884"/>
      <c r="AV117" s="884"/>
      <c r="AW117" s="884"/>
      <c r="AX117" s="884"/>
      <c r="AY117" s="884"/>
      <c r="AZ117" s="884"/>
      <c r="BA117" s="884"/>
      <c r="BB117" s="884"/>
      <c r="BC117" s="884"/>
      <c r="BD117" s="884"/>
      <c r="BE117" s="884"/>
      <c r="BF117" s="884"/>
      <c r="BG117" s="884"/>
      <c r="BH117" s="884"/>
      <c r="BI117" s="884"/>
      <c r="BJ117" s="884"/>
      <c r="BK117" s="884"/>
      <c r="BL117" s="884"/>
      <c r="BM117" s="884"/>
      <c r="BN117" s="884"/>
      <c r="BO117" s="884"/>
      <c r="BP117" s="884"/>
      <c r="BQ117" s="884"/>
      <c r="BR117" s="884"/>
      <c r="BS117" s="884"/>
      <c r="BT117" s="884"/>
      <c r="BU117" s="884"/>
      <c r="BV117" s="884"/>
      <c r="BW117" s="884"/>
      <c r="BX117" s="884"/>
      <c r="BY117" s="884"/>
      <c r="BZ117" s="884"/>
      <c r="CA117" s="884"/>
      <c r="CB117" s="884"/>
      <c r="CC117" s="884"/>
      <c r="CD117" s="884"/>
      <c r="CE117" s="884"/>
      <c r="CF117" s="884"/>
      <c r="CG117" s="884"/>
      <c r="CH117" s="884"/>
      <c r="CI117" s="884"/>
      <c r="CJ117" s="884"/>
      <c r="CK117" s="884"/>
      <c r="CL117" s="884"/>
      <c r="CM117" s="884"/>
      <c r="CN117" s="884"/>
      <c r="CO117" s="884"/>
      <c r="CP117" s="884"/>
      <c r="CQ117" s="884"/>
      <c r="CR117" s="884"/>
      <c r="CS117" s="884"/>
      <c r="CT117" s="884"/>
      <c r="CU117" s="884"/>
      <c r="CV117" s="884"/>
      <c r="CW117" s="884"/>
      <c r="CX117" s="884"/>
      <c r="CY117" s="884"/>
      <c r="CZ117" s="884"/>
      <c r="DA117" s="884"/>
      <c r="DB117" s="884"/>
      <c r="DC117" s="884"/>
      <c r="DD117" s="884"/>
      <c r="DE117" s="884"/>
      <c r="DF117" s="884"/>
      <c r="DG117" s="884"/>
      <c r="DH117" s="884"/>
      <c r="DI117" s="884"/>
      <c r="DJ117" s="884"/>
      <c r="DK117" s="884"/>
      <c r="DL117" s="884"/>
      <c r="DM117" s="884"/>
      <c r="DN117" s="884"/>
      <c r="DO117" s="884"/>
      <c r="DP117" s="884"/>
      <c r="DQ117" s="884"/>
      <c r="DR117" s="884"/>
      <c r="DS117" s="884"/>
      <c r="DT117" s="884"/>
      <c r="DU117" s="884"/>
      <c r="DV117" s="884"/>
      <c r="DW117" s="884"/>
      <c r="DX117" s="884"/>
      <c r="DY117" s="884"/>
      <c r="DZ117" s="884"/>
      <c r="EA117" s="884"/>
      <c r="EB117" s="884"/>
      <c r="EC117" s="884"/>
      <c r="ED117" s="884"/>
      <c r="EE117" s="884"/>
      <c r="EF117" s="884"/>
      <c r="EG117" s="884"/>
      <c r="EH117" s="884"/>
      <c r="EI117" s="884"/>
      <c r="EJ117" s="884"/>
      <c r="EK117" s="884"/>
      <c r="EL117" s="884"/>
      <c r="EM117" s="884"/>
      <c r="EN117" s="884"/>
      <c r="EO117" s="884"/>
      <c r="EP117" s="884"/>
      <c r="EQ117" s="884"/>
      <c r="ER117" s="884"/>
      <c r="ES117" s="884"/>
      <c r="ET117" s="884"/>
      <c r="EU117" s="884"/>
      <c r="EV117" s="884"/>
      <c r="EW117" s="884"/>
      <c r="EX117" s="884"/>
      <c r="EY117" s="884"/>
      <c r="EZ117" s="884"/>
      <c r="FA117" s="884"/>
      <c r="FB117" s="884"/>
      <c r="FC117" s="884"/>
      <c r="FD117" s="884"/>
      <c r="FE117" s="884"/>
      <c r="FF117" s="884"/>
      <c r="FG117" s="884"/>
      <c r="FH117" s="884"/>
      <c r="FI117" s="884"/>
      <c r="FJ117" s="884"/>
      <c r="FK117" s="884"/>
      <c r="FL117" s="884"/>
      <c r="FM117" s="884"/>
      <c r="FN117" s="884"/>
      <c r="FO117" s="884"/>
      <c r="FP117" s="884"/>
      <c r="FQ117" s="884"/>
      <c r="FR117" s="884"/>
      <c r="FS117" s="884"/>
      <c r="FT117" s="884"/>
      <c r="FU117" s="884"/>
      <c r="FV117" s="884"/>
      <c r="FW117" s="884"/>
      <c r="FX117" s="884"/>
      <c r="FY117" s="884"/>
      <c r="FZ117" s="884"/>
      <c r="GA117" s="884"/>
      <c r="GB117" s="884"/>
      <c r="GC117" s="884"/>
      <c r="GD117" s="884"/>
      <c r="GE117" s="884"/>
      <c r="GF117" s="884"/>
      <c r="GG117" s="884"/>
      <c r="GH117" s="884"/>
      <c r="GI117" s="884"/>
      <c r="GJ117" s="884"/>
      <c r="GK117" s="884"/>
      <c r="GL117" s="884"/>
      <c r="GM117" s="884"/>
      <c r="GN117" s="884"/>
      <c r="GO117" s="884"/>
      <c r="GP117" s="884"/>
      <c r="GQ117" s="884"/>
      <c r="GR117" s="884"/>
      <c r="GS117" s="884"/>
      <c r="GT117" s="884"/>
      <c r="GU117" s="884"/>
      <c r="GV117" s="884"/>
      <c r="GW117" s="884"/>
      <c r="GX117" s="884"/>
      <c r="GY117" s="884"/>
      <c r="GZ117" s="884"/>
      <c r="HA117" s="884"/>
      <c r="HB117" s="884"/>
      <c r="HC117" s="884"/>
      <c r="HD117" s="884"/>
      <c r="HE117" s="884"/>
      <c r="HF117" s="884"/>
      <c r="HG117" s="884"/>
      <c r="HH117" s="884"/>
      <c r="HI117" s="884"/>
      <c r="HJ117" s="884"/>
      <c r="HK117" s="884"/>
      <c r="HL117" s="884"/>
      <c r="HM117" s="884"/>
      <c r="HN117" s="884"/>
      <c r="HO117" s="884"/>
      <c r="HP117" s="884"/>
      <c r="HQ117" s="884"/>
      <c r="HR117" s="884"/>
      <c r="HS117" s="884"/>
      <c r="HT117" s="884"/>
      <c r="HU117" s="884"/>
      <c r="HV117" s="884"/>
      <c r="HW117" s="884"/>
      <c r="HX117" s="884"/>
      <c r="HY117" s="884"/>
      <c r="HZ117" s="884"/>
      <c r="IA117" s="884"/>
      <c r="IB117" s="884"/>
      <c r="IC117" s="884"/>
      <c r="ID117" s="884"/>
      <c r="IE117" s="884"/>
      <c r="IF117" s="884"/>
      <c r="IG117" s="884"/>
      <c r="IH117" s="884"/>
      <c r="II117" s="884"/>
      <c r="IJ117" s="884"/>
      <c r="IK117" s="884"/>
      <c r="IL117" s="884"/>
      <c r="IM117" s="884"/>
      <c r="IN117" s="884"/>
      <c r="IO117" s="884"/>
      <c r="IP117" s="884"/>
      <c r="IQ117" s="884"/>
      <c r="IR117" s="884"/>
      <c r="IS117" s="884"/>
      <c r="IT117" s="884"/>
      <c r="IU117" s="884"/>
      <c r="IV117" s="884"/>
      <c r="IW117" s="884"/>
      <c r="IX117" s="884"/>
      <c r="IY117" s="884"/>
      <c r="IZ117" s="884"/>
      <c r="JA117" s="884"/>
      <c r="JB117" s="884"/>
      <c r="JC117" s="884"/>
      <c r="JD117" s="884"/>
      <c r="JE117" s="884"/>
      <c r="JF117" s="884"/>
      <c r="JG117" s="884"/>
      <c r="JH117" s="884"/>
      <c r="JI117" s="884"/>
      <c r="JJ117" s="884"/>
      <c r="JK117" s="884"/>
      <c r="JL117" s="884"/>
      <c r="JM117" s="884"/>
      <c r="JN117" s="884"/>
      <c r="JO117" s="884"/>
      <c r="JP117" s="884"/>
      <c r="JQ117" s="884"/>
      <c r="JR117" s="884"/>
      <c r="JS117" s="884"/>
      <c r="JT117" s="884"/>
      <c r="JU117" s="884"/>
      <c r="JV117" s="884"/>
      <c r="JW117" s="884"/>
    </row>
    <row r="118" spans="1:283" s="883" customFormat="1" ht="30" x14ac:dyDescent="0.2">
      <c r="A118" s="4062"/>
      <c r="B118" s="971"/>
      <c r="C118" s="985"/>
      <c r="D118" s="4141"/>
      <c r="E118" s="4068"/>
      <c r="F118" s="4068"/>
      <c r="G118" s="4131"/>
      <c r="H118" s="4143"/>
      <c r="I118" s="4051"/>
      <c r="J118" s="4131"/>
      <c r="K118" s="4131"/>
      <c r="L118" s="4131"/>
      <c r="M118" s="4139"/>
      <c r="N118" s="4160"/>
      <c r="O118" s="4133"/>
      <c r="P118" s="4120"/>
      <c r="Q118" s="2635"/>
      <c r="R118" s="2492" t="s">
        <v>937</v>
      </c>
      <c r="S118" s="912">
        <v>4000000</v>
      </c>
      <c r="T118" s="2490" t="s">
        <v>61</v>
      </c>
      <c r="U118" s="2485" t="s">
        <v>357</v>
      </c>
      <c r="V118" s="4174"/>
      <c r="W118" s="4154"/>
      <c r="X118" s="4154"/>
      <c r="Y118" s="4171"/>
      <c r="Z118" s="4154"/>
      <c r="AA118" s="4154"/>
      <c r="AB118" s="4154"/>
      <c r="AC118" s="4154"/>
      <c r="AD118" s="4174"/>
      <c r="AE118" s="4154"/>
      <c r="AF118" s="4154"/>
      <c r="AG118" s="4171"/>
      <c r="AH118" s="4154"/>
      <c r="AI118" s="4154"/>
      <c r="AJ118" s="4154"/>
      <c r="AK118" s="4154"/>
      <c r="AL118" s="4176"/>
      <c r="AM118" s="4176"/>
      <c r="AN118" s="4163"/>
      <c r="AT118" s="884"/>
      <c r="AU118" s="884"/>
      <c r="AV118" s="884"/>
      <c r="AW118" s="884"/>
      <c r="AX118" s="884"/>
      <c r="AY118" s="884"/>
      <c r="AZ118" s="884"/>
      <c r="BA118" s="884"/>
      <c r="BB118" s="884"/>
      <c r="BC118" s="884"/>
      <c r="BD118" s="884"/>
      <c r="BE118" s="884"/>
      <c r="BF118" s="884"/>
      <c r="BG118" s="884"/>
      <c r="BH118" s="884"/>
      <c r="BI118" s="884"/>
      <c r="BJ118" s="884"/>
      <c r="BK118" s="884"/>
      <c r="BL118" s="884"/>
      <c r="BM118" s="884"/>
      <c r="BN118" s="884"/>
      <c r="BO118" s="884"/>
      <c r="BP118" s="884"/>
      <c r="BQ118" s="884"/>
      <c r="BR118" s="884"/>
      <c r="BS118" s="884"/>
      <c r="BT118" s="884"/>
      <c r="BU118" s="884"/>
      <c r="BV118" s="884"/>
      <c r="BW118" s="884"/>
      <c r="BX118" s="884"/>
      <c r="BY118" s="884"/>
      <c r="BZ118" s="884"/>
      <c r="CA118" s="884"/>
      <c r="CB118" s="884"/>
      <c r="CC118" s="884"/>
      <c r="CD118" s="884"/>
      <c r="CE118" s="884"/>
      <c r="CF118" s="884"/>
      <c r="CG118" s="884"/>
      <c r="CH118" s="884"/>
      <c r="CI118" s="884"/>
      <c r="CJ118" s="884"/>
      <c r="CK118" s="884"/>
      <c r="CL118" s="884"/>
      <c r="CM118" s="884"/>
      <c r="CN118" s="884"/>
      <c r="CO118" s="884"/>
      <c r="CP118" s="884"/>
      <c r="CQ118" s="884"/>
      <c r="CR118" s="884"/>
      <c r="CS118" s="884"/>
      <c r="CT118" s="884"/>
      <c r="CU118" s="884"/>
      <c r="CV118" s="884"/>
      <c r="CW118" s="884"/>
      <c r="CX118" s="884"/>
      <c r="CY118" s="884"/>
      <c r="CZ118" s="884"/>
      <c r="DA118" s="884"/>
      <c r="DB118" s="884"/>
      <c r="DC118" s="884"/>
      <c r="DD118" s="884"/>
      <c r="DE118" s="884"/>
      <c r="DF118" s="884"/>
      <c r="DG118" s="884"/>
      <c r="DH118" s="884"/>
      <c r="DI118" s="884"/>
      <c r="DJ118" s="884"/>
      <c r="DK118" s="884"/>
      <c r="DL118" s="884"/>
      <c r="DM118" s="884"/>
      <c r="DN118" s="884"/>
      <c r="DO118" s="884"/>
      <c r="DP118" s="884"/>
      <c r="DQ118" s="884"/>
      <c r="DR118" s="884"/>
      <c r="DS118" s="884"/>
      <c r="DT118" s="884"/>
      <c r="DU118" s="884"/>
      <c r="DV118" s="884"/>
      <c r="DW118" s="884"/>
      <c r="DX118" s="884"/>
      <c r="DY118" s="884"/>
      <c r="DZ118" s="884"/>
      <c r="EA118" s="884"/>
      <c r="EB118" s="884"/>
      <c r="EC118" s="884"/>
      <c r="ED118" s="884"/>
      <c r="EE118" s="884"/>
      <c r="EF118" s="884"/>
      <c r="EG118" s="884"/>
      <c r="EH118" s="884"/>
      <c r="EI118" s="884"/>
      <c r="EJ118" s="884"/>
      <c r="EK118" s="884"/>
      <c r="EL118" s="884"/>
      <c r="EM118" s="884"/>
      <c r="EN118" s="884"/>
      <c r="EO118" s="884"/>
      <c r="EP118" s="884"/>
      <c r="EQ118" s="884"/>
      <c r="ER118" s="884"/>
      <c r="ES118" s="884"/>
      <c r="ET118" s="884"/>
      <c r="EU118" s="884"/>
      <c r="EV118" s="884"/>
      <c r="EW118" s="884"/>
      <c r="EX118" s="884"/>
      <c r="EY118" s="884"/>
      <c r="EZ118" s="884"/>
      <c r="FA118" s="884"/>
      <c r="FB118" s="884"/>
      <c r="FC118" s="884"/>
      <c r="FD118" s="884"/>
      <c r="FE118" s="884"/>
      <c r="FF118" s="884"/>
      <c r="FG118" s="884"/>
      <c r="FH118" s="884"/>
      <c r="FI118" s="884"/>
      <c r="FJ118" s="884"/>
      <c r="FK118" s="884"/>
      <c r="FL118" s="884"/>
      <c r="FM118" s="884"/>
      <c r="FN118" s="884"/>
      <c r="FO118" s="884"/>
      <c r="FP118" s="884"/>
      <c r="FQ118" s="884"/>
      <c r="FR118" s="884"/>
      <c r="FS118" s="884"/>
      <c r="FT118" s="884"/>
      <c r="FU118" s="884"/>
      <c r="FV118" s="884"/>
      <c r="FW118" s="884"/>
      <c r="FX118" s="884"/>
      <c r="FY118" s="884"/>
      <c r="FZ118" s="884"/>
      <c r="GA118" s="884"/>
      <c r="GB118" s="884"/>
      <c r="GC118" s="884"/>
      <c r="GD118" s="884"/>
      <c r="GE118" s="884"/>
      <c r="GF118" s="884"/>
      <c r="GG118" s="884"/>
      <c r="GH118" s="884"/>
      <c r="GI118" s="884"/>
      <c r="GJ118" s="884"/>
      <c r="GK118" s="884"/>
      <c r="GL118" s="884"/>
      <c r="GM118" s="884"/>
      <c r="GN118" s="884"/>
      <c r="GO118" s="884"/>
      <c r="GP118" s="884"/>
      <c r="GQ118" s="884"/>
      <c r="GR118" s="884"/>
      <c r="GS118" s="884"/>
      <c r="GT118" s="884"/>
      <c r="GU118" s="884"/>
      <c r="GV118" s="884"/>
      <c r="GW118" s="884"/>
      <c r="GX118" s="884"/>
      <c r="GY118" s="884"/>
      <c r="GZ118" s="884"/>
      <c r="HA118" s="884"/>
      <c r="HB118" s="884"/>
      <c r="HC118" s="884"/>
      <c r="HD118" s="884"/>
      <c r="HE118" s="884"/>
      <c r="HF118" s="884"/>
      <c r="HG118" s="884"/>
      <c r="HH118" s="884"/>
      <c r="HI118" s="884"/>
      <c r="HJ118" s="884"/>
      <c r="HK118" s="884"/>
      <c r="HL118" s="884"/>
      <c r="HM118" s="884"/>
      <c r="HN118" s="884"/>
      <c r="HO118" s="884"/>
      <c r="HP118" s="884"/>
      <c r="HQ118" s="884"/>
      <c r="HR118" s="884"/>
      <c r="HS118" s="884"/>
      <c r="HT118" s="884"/>
      <c r="HU118" s="884"/>
      <c r="HV118" s="884"/>
      <c r="HW118" s="884"/>
      <c r="HX118" s="884"/>
      <c r="HY118" s="884"/>
      <c r="HZ118" s="884"/>
      <c r="IA118" s="884"/>
      <c r="IB118" s="884"/>
      <c r="IC118" s="884"/>
      <c r="ID118" s="884"/>
      <c r="IE118" s="884"/>
      <c r="IF118" s="884"/>
      <c r="IG118" s="884"/>
      <c r="IH118" s="884"/>
      <c r="II118" s="884"/>
      <c r="IJ118" s="884"/>
      <c r="IK118" s="884"/>
      <c r="IL118" s="884"/>
      <c r="IM118" s="884"/>
      <c r="IN118" s="884"/>
      <c r="IO118" s="884"/>
      <c r="IP118" s="884"/>
      <c r="IQ118" s="884"/>
      <c r="IR118" s="884"/>
      <c r="IS118" s="884"/>
      <c r="IT118" s="884"/>
      <c r="IU118" s="884"/>
      <c r="IV118" s="884"/>
      <c r="IW118" s="884"/>
      <c r="IX118" s="884"/>
      <c r="IY118" s="884"/>
      <c r="IZ118" s="884"/>
      <c r="JA118" s="884"/>
      <c r="JB118" s="884"/>
      <c r="JC118" s="884"/>
      <c r="JD118" s="884"/>
      <c r="JE118" s="884"/>
      <c r="JF118" s="884"/>
      <c r="JG118" s="884"/>
      <c r="JH118" s="884"/>
      <c r="JI118" s="884"/>
      <c r="JJ118" s="884"/>
      <c r="JK118" s="884"/>
      <c r="JL118" s="884"/>
      <c r="JM118" s="884"/>
      <c r="JN118" s="884"/>
      <c r="JO118" s="884"/>
      <c r="JP118" s="884"/>
      <c r="JQ118" s="884"/>
      <c r="JR118" s="884"/>
      <c r="JS118" s="884"/>
      <c r="JT118" s="884"/>
      <c r="JU118" s="884"/>
      <c r="JV118" s="884"/>
      <c r="JW118" s="884"/>
    </row>
    <row r="119" spans="1:283" s="883" customFormat="1" x14ac:dyDescent="0.2">
      <c r="A119" s="884"/>
      <c r="B119" s="884"/>
      <c r="C119" s="1009">
        <v>19</v>
      </c>
      <c r="D119" s="956" t="s">
        <v>952</v>
      </c>
      <c r="E119" s="1010"/>
      <c r="F119" s="1010"/>
      <c r="G119" s="1010"/>
      <c r="H119" s="1005"/>
      <c r="I119" s="1005"/>
      <c r="J119" s="1010"/>
      <c r="K119" s="1010"/>
      <c r="L119" s="1010"/>
      <c r="M119" s="1011"/>
      <c r="N119" s="1012"/>
      <c r="O119" s="1013"/>
      <c r="P119" s="1005"/>
      <c r="Q119" s="1005"/>
      <c r="R119" s="1005"/>
      <c r="S119" s="1005"/>
      <c r="T119" s="1014"/>
      <c r="U119" s="1014"/>
      <c r="V119" s="1010"/>
      <c r="W119" s="1010"/>
      <c r="X119" s="1010"/>
      <c r="Y119" s="1010"/>
      <c r="Z119" s="1010"/>
      <c r="AA119" s="1010"/>
      <c r="AB119" s="1010"/>
      <c r="AC119" s="1010"/>
      <c r="AD119" s="1010"/>
      <c r="AE119" s="1010"/>
      <c r="AF119" s="1010"/>
      <c r="AG119" s="1010"/>
      <c r="AH119" s="1010"/>
      <c r="AI119" s="1010"/>
      <c r="AJ119" s="1010"/>
      <c r="AK119" s="1010"/>
      <c r="AL119" s="1010"/>
      <c r="AM119" s="1010"/>
      <c r="AN119" s="1015"/>
      <c r="AT119" s="884"/>
      <c r="AU119" s="884"/>
      <c r="AV119" s="884"/>
      <c r="AW119" s="884"/>
      <c r="AX119" s="884"/>
      <c r="AY119" s="884"/>
      <c r="AZ119" s="884"/>
      <c r="BA119" s="884"/>
      <c r="BB119" s="884"/>
      <c r="BC119" s="884"/>
      <c r="BD119" s="884"/>
      <c r="BE119" s="884"/>
      <c r="BF119" s="884"/>
      <c r="BG119" s="884"/>
      <c r="BH119" s="884"/>
      <c r="BI119" s="884"/>
      <c r="BJ119" s="884"/>
      <c r="BK119" s="884"/>
      <c r="BL119" s="884"/>
      <c r="BM119" s="884"/>
      <c r="BN119" s="884"/>
      <c r="BO119" s="884"/>
      <c r="BP119" s="884"/>
      <c r="BQ119" s="884"/>
      <c r="BR119" s="884"/>
      <c r="BS119" s="884"/>
      <c r="BT119" s="884"/>
      <c r="BU119" s="884"/>
      <c r="BV119" s="884"/>
      <c r="BW119" s="884"/>
      <c r="BX119" s="884"/>
      <c r="BY119" s="884"/>
      <c r="BZ119" s="884"/>
      <c r="CA119" s="884"/>
      <c r="CB119" s="884"/>
      <c r="CC119" s="884"/>
      <c r="CD119" s="884"/>
      <c r="CE119" s="884"/>
      <c r="CF119" s="884"/>
      <c r="CG119" s="884"/>
      <c r="CH119" s="884"/>
      <c r="CI119" s="884"/>
      <c r="CJ119" s="884"/>
      <c r="CK119" s="884"/>
      <c r="CL119" s="884"/>
      <c r="CM119" s="884"/>
      <c r="CN119" s="884"/>
      <c r="CO119" s="884"/>
      <c r="CP119" s="884"/>
      <c r="CQ119" s="884"/>
      <c r="CR119" s="884"/>
      <c r="CS119" s="884"/>
      <c r="CT119" s="884"/>
      <c r="CU119" s="884"/>
      <c r="CV119" s="884"/>
      <c r="CW119" s="884"/>
      <c r="CX119" s="884"/>
      <c r="CY119" s="884"/>
      <c r="CZ119" s="884"/>
      <c r="DA119" s="884"/>
      <c r="DB119" s="884"/>
      <c r="DC119" s="884"/>
      <c r="DD119" s="884"/>
      <c r="DE119" s="884"/>
      <c r="DF119" s="884"/>
      <c r="DG119" s="884"/>
      <c r="DH119" s="884"/>
      <c r="DI119" s="884"/>
      <c r="DJ119" s="884"/>
      <c r="DK119" s="884"/>
      <c r="DL119" s="884"/>
      <c r="DM119" s="884"/>
      <c r="DN119" s="884"/>
      <c r="DO119" s="884"/>
      <c r="DP119" s="884"/>
      <c r="DQ119" s="884"/>
      <c r="DR119" s="884"/>
      <c r="DS119" s="884"/>
      <c r="DT119" s="884"/>
      <c r="DU119" s="884"/>
      <c r="DV119" s="884"/>
      <c r="DW119" s="884"/>
      <c r="DX119" s="884"/>
      <c r="DY119" s="884"/>
      <c r="DZ119" s="884"/>
      <c r="EA119" s="884"/>
      <c r="EB119" s="884"/>
      <c r="EC119" s="884"/>
      <c r="ED119" s="884"/>
      <c r="EE119" s="884"/>
      <c r="EF119" s="884"/>
      <c r="EG119" s="884"/>
      <c r="EH119" s="884"/>
      <c r="EI119" s="884"/>
      <c r="EJ119" s="884"/>
      <c r="EK119" s="884"/>
      <c r="EL119" s="884"/>
      <c r="EM119" s="884"/>
      <c r="EN119" s="884"/>
      <c r="EO119" s="884"/>
      <c r="EP119" s="884"/>
      <c r="EQ119" s="884"/>
      <c r="ER119" s="884"/>
      <c r="ES119" s="884"/>
      <c r="ET119" s="884"/>
      <c r="EU119" s="884"/>
      <c r="EV119" s="884"/>
      <c r="EW119" s="884"/>
      <c r="EX119" s="884"/>
      <c r="EY119" s="884"/>
      <c r="EZ119" s="884"/>
      <c r="FA119" s="884"/>
      <c r="FB119" s="884"/>
      <c r="FC119" s="884"/>
      <c r="FD119" s="884"/>
      <c r="FE119" s="884"/>
      <c r="FF119" s="884"/>
      <c r="FG119" s="884"/>
      <c r="FH119" s="884"/>
      <c r="FI119" s="884"/>
      <c r="FJ119" s="884"/>
      <c r="FK119" s="884"/>
      <c r="FL119" s="884"/>
      <c r="FM119" s="884"/>
      <c r="FN119" s="884"/>
      <c r="FO119" s="884"/>
      <c r="FP119" s="884"/>
      <c r="FQ119" s="884"/>
      <c r="FR119" s="884"/>
      <c r="FS119" s="884"/>
      <c r="FT119" s="884"/>
      <c r="FU119" s="884"/>
      <c r="FV119" s="884"/>
      <c r="FW119" s="884"/>
      <c r="FX119" s="884"/>
      <c r="FY119" s="884"/>
      <c r="FZ119" s="884"/>
      <c r="GA119" s="884"/>
      <c r="GB119" s="884"/>
      <c r="GC119" s="884"/>
      <c r="GD119" s="884"/>
      <c r="GE119" s="884"/>
      <c r="GF119" s="884"/>
      <c r="GG119" s="884"/>
      <c r="GH119" s="884"/>
      <c r="GI119" s="884"/>
      <c r="GJ119" s="884"/>
      <c r="GK119" s="884"/>
      <c r="GL119" s="884"/>
      <c r="GM119" s="884"/>
      <c r="GN119" s="884"/>
      <c r="GO119" s="884"/>
      <c r="GP119" s="884"/>
      <c r="GQ119" s="884"/>
      <c r="GR119" s="884"/>
      <c r="GS119" s="884"/>
      <c r="GT119" s="884"/>
      <c r="GU119" s="884"/>
      <c r="GV119" s="884"/>
      <c r="GW119" s="884"/>
      <c r="GX119" s="884"/>
      <c r="GY119" s="884"/>
      <c r="GZ119" s="884"/>
      <c r="HA119" s="884"/>
      <c r="HB119" s="884"/>
      <c r="HC119" s="884"/>
      <c r="HD119" s="884"/>
      <c r="HE119" s="884"/>
      <c r="HF119" s="884"/>
      <c r="HG119" s="884"/>
      <c r="HH119" s="884"/>
      <c r="HI119" s="884"/>
      <c r="HJ119" s="884"/>
      <c r="HK119" s="884"/>
      <c r="HL119" s="884"/>
      <c r="HM119" s="884"/>
      <c r="HN119" s="884"/>
      <c r="HO119" s="884"/>
      <c r="HP119" s="884"/>
      <c r="HQ119" s="884"/>
      <c r="HR119" s="884"/>
      <c r="HS119" s="884"/>
      <c r="HT119" s="884"/>
      <c r="HU119" s="884"/>
      <c r="HV119" s="884"/>
      <c r="HW119" s="884"/>
      <c r="HX119" s="884"/>
      <c r="HY119" s="884"/>
      <c r="HZ119" s="884"/>
      <c r="IA119" s="884"/>
      <c r="IB119" s="884"/>
      <c r="IC119" s="884"/>
      <c r="ID119" s="884"/>
      <c r="IE119" s="884"/>
      <c r="IF119" s="884"/>
      <c r="IG119" s="884"/>
      <c r="IH119" s="884"/>
      <c r="II119" s="884"/>
      <c r="IJ119" s="884"/>
      <c r="IK119" s="884"/>
      <c r="IL119" s="884"/>
      <c r="IM119" s="884"/>
      <c r="IN119" s="884"/>
      <c r="IO119" s="884"/>
      <c r="IP119" s="884"/>
      <c r="IQ119" s="884"/>
      <c r="IR119" s="884"/>
      <c r="IS119" s="884"/>
      <c r="IT119" s="884"/>
      <c r="IU119" s="884"/>
      <c r="IV119" s="884"/>
      <c r="IW119" s="884"/>
      <c r="IX119" s="884"/>
      <c r="IY119" s="884"/>
      <c r="IZ119" s="884"/>
      <c r="JA119" s="884"/>
      <c r="JB119" s="884"/>
      <c r="JC119" s="884"/>
      <c r="JD119" s="884"/>
      <c r="JE119" s="884"/>
      <c r="JF119" s="884"/>
      <c r="JG119" s="884"/>
      <c r="JH119" s="884"/>
      <c r="JI119" s="884"/>
      <c r="JJ119" s="884"/>
      <c r="JK119" s="884"/>
      <c r="JL119" s="884"/>
      <c r="JM119" s="884"/>
      <c r="JN119" s="884"/>
      <c r="JO119" s="884"/>
      <c r="JP119" s="884"/>
      <c r="JQ119" s="884"/>
      <c r="JR119" s="884"/>
      <c r="JS119" s="884"/>
      <c r="JT119" s="884"/>
      <c r="JU119" s="884"/>
      <c r="JV119" s="884"/>
      <c r="JW119" s="884"/>
    </row>
    <row r="120" spans="1:283" s="883" customFormat="1" x14ac:dyDescent="0.2">
      <c r="A120" s="884"/>
      <c r="B120" s="884"/>
      <c r="C120" s="4177"/>
      <c r="D120" s="4178"/>
      <c r="E120" s="962">
        <v>67</v>
      </c>
      <c r="F120" s="1016" t="s">
        <v>953</v>
      </c>
      <c r="G120" s="1017"/>
      <c r="H120" s="1018"/>
      <c r="I120" s="1018"/>
      <c r="J120" s="1017"/>
      <c r="K120" s="1019"/>
      <c r="L120" s="1017"/>
      <c r="M120" s="1020"/>
      <c r="N120" s="1021"/>
      <c r="O120" s="1022"/>
      <c r="P120" s="1018"/>
      <c r="Q120" s="1018"/>
      <c r="R120" s="1018"/>
      <c r="S120" s="1018"/>
      <c r="T120" s="1023"/>
      <c r="U120" s="1023"/>
      <c r="V120" s="1017"/>
      <c r="W120" s="1017"/>
      <c r="X120" s="1017"/>
      <c r="Y120" s="1017"/>
      <c r="Z120" s="1017"/>
      <c r="AA120" s="1017"/>
      <c r="AB120" s="1017"/>
      <c r="AC120" s="1017"/>
      <c r="AD120" s="1017"/>
      <c r="AE120" s="1017"/>
      <c r="AF120" s="1017"/>
      <c r="AG120" s="1017"/>
      <c r="AH120" s="1017"/>
      <c r="AI120" s="1017"/>
      <c r="AJ120" s="1017"/>
      <c r="AK120" s="1017"/>
      <c r="AL120" s="1017"/>
      <c r="AM120" s="1017"/>
      <c r="AN120" s="1024"/>
      <c r="AT120" s="884"/>
      <c r="AU120" s="884"/>
      <c r="AV120" s="884"/>
      <c r="AW120" s="884"/>
      <c r="AX120" s="884"/>
      <c r="AY120" s="884"/>
      <c r="AZ120" s="884"/>
      <c r="BA120" s="884"/>
      <c r="BB120" s="884"/>
      <c r="BC120" s="884"/>
      <c r="BD120" s="884"/>
      <c r="BE120" s="884"/>
      <c r="BF120" s="884"/>
      <c r="BG120" s="884"/>
      <c r="BH120" s="884"/>
      <c r="BI120" s="884"/>
      <c r="BJ120" s="884"/>
      <c r="BK120" s="884"/>
      <c r="BL120" s="884"/>
      <c r="BM120" s="884"/>
      <c r="BN120" s="884"/>
      <c r="BO120" s="884"/>
      <c r="BP120" s="884"/>
      <c r="BQ120" s="884"/>
      <c r="BR120" s="884"/>
      <c r="BS120" s="884"/>
      <c r="BT120" s="884"/>
      <c r="BU120" s="884"/>
      <c r="BV120" s="884"/>
      <c r="BW120" s="884"/>
      <c r="BX120" s="884"/>
      <c r="BY120" s="884"/>
      <c r="BZ120" s="884"/>
      <c r="CA120" s="884"/>
      <c r="CB120" s="884"/>
      <c r="CC120" s="884"/>
      <c r="CD120" s="884"/>
      <c r="CE120" s="884"/>
      <c r="CF120" s="884"/>
      <c r="CG120" s="884"/>
      <c r="CH120" s="884"/>
      <c r="CI120" s="884"/>
      <c r="CJ120" s="884"/>
      <c r="CK120" s="884"/>
      <c r="CL120" s="884"/>
      <c r="CM120" s="884"/>
      <c r="CN120" s="884"/>
      <c r="CO120" s="884"/>
      <c r="CP120" s="884"/>
      <c r="CQ120" s="884"/>
      <c r="CR120" s="884"/>
      <c r="CS120" s="884"/>
      <c r="CT120" s="884"/>
      <c r="CU120" s="884"/>
      <c r="CV120" s="884"/>
      <c r="CW120" s="884"/>
      <c r="CX120" s="884"/>
      <c r="CY120" s="884"/>
      <c r="CZ120" s="884"/>
      <c r="DA120" s="884"/>
      <c r="DB120" s="884"/>
      <c r="DC120" s="884"/>
      <c r="DD120" s="884"/>
      <c r="DE120" s="884"/>
      <c r="DF120" s="884"/>
      <c r="DG120" s="884"/>
      <c r="DH120" s="884"/>
      <c r="DI120" s="884"/>
      <c r="DJ120" s="884"/>
      <c r="DK120" s="884"/>
      <c r="DL120" s="884"/>
      <c r="DM120" s="884"/>
      <c r="DN120" s="884"/>
      <c r="DO120" s="884"/>
      <c r="DP120" s="884"/>
      <c r="DQ120" s="884"/>
      <c r="DR120" s="884"/>
      <c r="DS120" s="884"/>
      <c r="DT120" s="884"/>
      <c r="DU120" s="884"/>
      <c r="DV120" s="884"/>
      <c r="DW120" s="884"/>
      <c r="DX120" s="884"/>
      <c r="DY120" s="884"/>
      <c r="DZ120" s="884"/>
      <c r="EA120" s="884"/>
      <c r="EB120" s="884"/>
      <c r="EC120" s="884"/>
      <c r="ED120" s="884"/>
      <c r="EE120" s="884"/>
      <c r="EF120" s="884"/>
      <c r="EG120" s="884"/>
      <c r="EH120" s="884"/>
      <c r="EI120" s="884"/>
      <c r="EJ120" s="884"/>
      <c r="EK120" s="884"/>
      <c r="EL120" s="884"/>
      <c r="EM120" s="884"/>
      <c r="EN120" s="884"/>
      <c r="EO120" s="884"/>
      <c r="EP120" s="884"/>
      <c r="EQ120" s="884"/>
      <c r="ER120" s="884"/>
      <c r="ES120" s="884"/>
      <c r="ET120" s="884"/>
      <c r="EU120" s="884"/>
      <c r="EV120" s="884"/>
      <c r="EW120" s="884"/>
      <c r="EX120" s="884"/>
      <c r="EY120" s="884"/>
      <c r="EZ120" s="884"/>
      <c r="FA120" s="884"/>
      <c r="FB120" s="884"/>
      <c r="FC120" s="884"/>
      <c r="FD120" s="884"/>
      <c r="FE120" s="884"/>
      <c r="FF120" s="884"/>
      <c r="FG120" s="884"/>
      <c r="FH120" s="884"/>
      <c r="FI120" s="884"/>
      <c r="FJ120" s="884"/>
      <c r="FK120" s="884"/>
      <c r="FL120" s="884"/>
      <c r="FM120" s="884"/>
      <c r="FN120" s="884"/>
      <c r="FO120" s="884"/>
      <c r="FP120" s="884"/>
      <c r="FQ120" s="884"/>
      <c r="FR120" s="884"/>
      <c r="FS120" s="884"/>
      <c r="FT120" s="884"/>
      <c r="FU120" s="884"/>
      <c r="FV120" s="884"/>
      <c r="FW120" s="884"/>
      <c r="FX120" s="884"/>
      <c r="FY120" s="884"/>
      <c r="FZ120" s="884"/>
      <c r="GA120" s="884"/>
      <c r="GB120" s="884"/>
      <c r="GC120" s="884"/>
      <c r="GD120" s="884"/>
      <c r="GE120" s="884"/>
      <c r="GF120" s="884"/>
      <c r="GG120" s="884"/>
      <c r="GH120" s="884"/>
      <c r="GI120" s="884"/>
      <c r="GJ120" s="884"/>
      <c r="GK120" s="884"/>
      <c r="GL120" s="884"/>
      <c r="GM120" s="884"/>
      <c r="GN120" s="884"/>
      <c r="GO120" s="884"/>
      <c r="GP120" s="884"/>
      <c r="GQ120" s="884"/>
      <c r="GR120" s="884"/>
      <c r="GS120" s="884"/>
      <c r="GT120" s="884"/>
      <c r="GU120" s="884"/>
      <c r="GV120" s="884"/>
      <c r="GW120" s="884"/>
      <c r="GX120" s="884"/>
      <c r="GY120" s="884"/>
      <c r="GZ120" s="884"/>
      <c r="HA120" s="884"/>
      <c r="HB120" s="884"/>
      <c r="HC120" s="884"/>
      <c r="HD120" s="884"/>
      <c r="HE120" s="884"/>
      <c r="HF120" s="884"/>
      <c r="HG120" s="884"/>
      <c r="HH120" s="884"/>
      <c r="HI120" s="884"/>
      <c r="HJ120" s="884"/>
      <c r="HK120" s="884"/>
      <c r="HL120" s="884"/>
      <c r="HM120" s="884"/>
      <c r="HN120" s="884"/>
      <c r="HO120" s="884"/>
      <c r="HP120" s="884"/>
      <c r="HQ120" s="884"/>
      <c r="HR120" s="884"/>
      <c r="HS120" s="884"/>
      <c r="HT120" s="884"/>
      <c r="HU120" s="884"/>
      <c r="HV120" s="884"/>
      <c r="HW120" s="884"/>
      <c r="HX120" s="884"/>
      <c r="HY120" s="884"/>
      <c r="HZ120" s="884"/>
      <c r="IA120" s="884"/>
      <c r="IB120" s="884"/>
      <c r="IC120" s="884"/>
      <c r="ID120" s="884"/>
      <c r="IE120" s="884"/>
      <c r="IF120" s="884"/>
      <c r="IG120" s="884"/>
      <c r="IH120" s="884"/>
      <c r="II120" s="884"/>
      <c r="IJ120" s="884"/>
      <c r="IK120" s="884"/>
      <c r="IL120" s="884"/>
      <c r="IM120" s="884"/>
      <c r="IN120" s="884"/>
      <c r="IO120" s="884"/>
      <c r="IP120" s="884"/>
      <c r="IQ120" s="884"/>
      <c r="IR120" s="884"/>
      <c r="IS120" s="884"/>
      <c r="IT120" s="884"/>
      <c r="IU120" s="884"/>
      <c r="IV120" s="884"/>
      <c r="IW120" s="884"/>
      <c r="IX120" s="884"/>
      <c r="IY120" s="884"/>
      <c r="IZ120" s="884"/>
      <c r="JA120" s="884"/>
      <c r="JB120" s="884"/>
      <c r="JC120" s="884"/>
      <c r="JD120" s="884"/>
      <c r="JE120" s="884"/>
      <c r="JF120" s="884"/>
      <c r="JG120" s="884"/>
      <c r="JH120" s="884"/>
      <c r="JI120" s="884"/>
      <c r="JJ120" s="884"/>
      <c r="JK120" s="884"/>
      <c r="JL120" s="884"/>
      <c r="JM120" s="884"/>
      <c r="JN120" s="884"/>
      <c r="JO120" s="884"/>
      <c r="JP120" s="884"/>
      <c r="JQ120" s="884"/>
      <c r="JR120" s="884"/>
      <c r="JS120" s="884"/>
      <c r="JT120" s="884"/>
      <c r="JU120" s="884"/>
      <c r="JV120" s="884"/>
      <c r="JW120" s="884"/>
    </row>
    <row r="121" spans="1:283" s="883" customFormat="1" ht="71.25" customHeight="1" x14ac:dyDescent="0.2">
      <c r="A121" s="884"/>
      <c r="B121" s="884"/>
      <c r="C121" s="4177"/>
      <c r="D121" s="4178"/>
      <c r="E121" s="970"/>
      <c r="F121" s="975"/>
      <c r="G121" s="4097">
        <v>198</v>
      </c>
      <c r="H121" s="4066" t="s">
        <v>954</v>
      </c>
      <c r="I121" s="2660" t="s">
        <v>955</v>
      </c>
      <c r="J121" s="4179">
        <v>1</v>
      </c>
      <c r="K121" s="4180" t="s">
        <v>956</v>
      </c>
      <c r="L121" s="4187" t="s">
        <v>957</v>
      </c>
      <c r="M121" s="4067" t="s">
        <v>958</v>
      </c>
      <c r="N121" s="4188">
        <f>SUM(S121:S127)/O121</f>
        <v>1.1019292128613386E-2</v>
      </c>
      <c r="O121" s="4190">
        <f>SUM(S121:S132)</f>
        <v>3977405943</v>
      </c>
      <c r="P121" s="4067" t="s">
        <v>959</v>
      </c>
      <c r="Q121" s="2638" t="s">
        <v>960</v>
      </c>
      <c r="R121" s="1025" t="s">
        <v>961</v>
      </c>
      <c r="S121" s="912">
        <v>10000000</v>
      </c>
      <c r="T121" s="1026">
        <v>20</v>
      </c>
      <c r="U121" s="1027" t="s">
        <v>62</v>
      </c>
      <c r="V121" s="4099">
        <v>2500</v>
      </c>
      <c r="W121" s="4096">
        <v>2000</v>
      </c>
      <c r="X121" s="4096"/>
      <c r="Y121" s="4096"/>
      <c r="Z121" s="4096"/>
      <c r="AA121" s="4096">
        <v>4500</v>
      </c>
      <c r="AB121" s="4204"/>
      <c r="AC121" s="4096"/>
      <c r="AD121" s="4096"/>
      <c r="AE121" s="4201"/>
      <c r="AF121" s="4201"/>
      <c r="AG121" s="4201"/>
      <c r="AH121" s="4201"/>
      <c r="AI121" s="4201"/>
      <c r="AJ121" s="4201"/>
      <c r="AK121" s="4101">
        <f>SUM(AA121)</f>
        <v>4500</v>
      </c>
      <c r="AL121" s="4089">
        <v>43467</v>
      </c>
      <c r="AM121" s="4089">
        <v>43830</v>
      </c>
      <c r="AN121" s="2660" t="s">
        <v>843</v>
      </c>
      <c r="AT121" s="884"/>
      <c r="AU121" s="884"/>
      <c r="AV121" s="884"/>
      <c r="AW121" s="884"/>
      <c r="AX121" s="884"/>
      <c r="AY121" s="884"/>
      <c r="AZ121" s="884"/>
      <c r="BA121" s="884"/>
      <c r="BB121" s="884"/>
      <c r="BC121" s="884"/>
      <c r="BD121" s="884"/>
      <c r="BE121" s="884"/>
      <c r="BF121" s="884"/>
      <c r="BG121" s="884"/>
      <c r="BH121" s="884"/>
      <c r="BI121" s="884"/>
      <c r="BJ121" s="884"/>
      <c r="BK121" s="884"/>
      <c r="BL121" s="884"/>
      <c r="BM121" s="884"/>
      <c r="BN121" s="884"/>
      <c r="BO121" s="884"/>
      <c r="BP121" s="884"/>
      <c r="BQ121" s="884"/>
      <c r="BR121" s="884"/>
      <c r="BS121" s="884"/>
      <c r="BT121" s="884"/>
      <c r="BU121" s="884"/>
      <c r="BV121" s="884"/>
      <c r="BW121" s="884"/>
      <c r="BX121" s="884"/>
      <c r="BY121" s="884"/>
      <c r="BZ121" s="884"/>
      <c r="CA121" s="884"/>
      <c r="CB121" s="884"/>
      <c r="CC121" s="884"/>
      <c r="CD121" s="884"/>
      <c r="CE121" s="884"/>
      <c r="CF121" s="884"/>
      <c r="CG121" s="884"/>
      <c r="CH121" s="884"/>
      <c r="CI121" s="884"/>
      <c r="CJ121" s="884"/>
      <c r="CK121" s="884"/>
      <c r="CL121" s="884"/>
      <c r="CM121" s="884"/>
      <c r="CN121" s="884"/>
      <c r="CO121" s="884"/>
      <c r="CP121" s="884"/>
      <c r="CQ121" s="884"/>
      <c r="CR121" s="884"/>
      <c r="CS121" s="884"/>
      <c r="CT121" s="884"/>
      <c r="CU121" s="884"/>
      <c r="CV121" s="884"/>
      <c r="CW121" s="884"/>
      <c r="CX121" s="884"/>
      <c r="CY121" s="884"/>
      <c r="CZ121" s="884"/>
      <c r="DA121" s="884"/>
      <c r="DB121" s="884"/>
      <c r="DC121" s="884"/>
      <c r="DD121" s="884"/>
      <c r="DE121" s="884"/>
      <c r="DF121" s="884"/>
      <c r="DG121" s="884"/>
      <c r="DH121" s="884"/>
      <c r="DI121" s="884"/>
      <c r="DJ121" s="884"/>
      <c r="DK121" s="884"/>
      <c r="DL121" s="884"/>
      <c r="DM121" s="884"/>
      <c r="DN121" s="884"/>
      <c r="DO121" s="884"/>
      <c r="DP121" s="884"/>
      <c r="DQ121" s="884"/>
      <c r="DR121" s="884"/>
      <c r="DS121" s="884"/>
      <c r="DT121" s="884"/>
      <c r="DU121" s="884"/>
      <c r="DV121" s="884"/>
      <c r="DW121" s="884"/>
      <c r="DX121" s="884"/>
      <c r="DY121" s="884"/>
      <c r="DZ121" s="884"/>
      <c r="EA121" s="884"/>
      <c r="EB121" s="884"/>
      <c r="EC121" s="884"/>
      <c r="ED121" s="884"/>
      <c r="EE121" s="884"/>
      <c r="EF121" s="884"/>
      <c r="EG121" s="884"/>
      <c r="EH121" s="884"/>
      <c r="EI121" s="884"/>
      <c r="EJ121" s="884"/>
      <c r="EK121" s="884"/>
      <c r="EL121" s="884"/>
      <c r="EM121" s="884"/>
      <c r="EN121" s="884"/>
      <c r="EO121" s="884"/>
      <c r="EP121" s="884"/>
      <c r="EQ121" s="884"/>
      <c r="ER121" s="884"/>
      <c r="ES121" s="884"/>
      <c r="ET121" s="884"/>
      <c r="EU121" s="884"/>
      <c r="EV121" s="884"/>
      <c r="EW121" s="884"/>
      <c r="EX121" s="884"/>
      <c r="EY121" s="884"/>
      <c r="EZ121" s="884"/>
      <c r="FA121" s="884"/>
      <c r="FB121" s="884"/>
      <c r="FC121" s="884"/>
      <c r="FD121" s="884"/>
      <c r="FE121" s="884"/>
      <c r="FF121" s="884"/>
      <c r="FG121" s="884"/>
      <c r="FH121" s="884"/>
      <c r="FI121" s="884"/>
      <c r="FJ121" s="884"/>
      <c r="FK121" s="884"/>
      <c r="FL121" s="884"/>
      <c r="FM121" s="884"/>
      <c r="FN121" s="884"/>
      <c r="FO121" s="884"/>
      <c r="FP121" s="884"/>
      <c r="FQ121" s="884"/>
      <c r="FR121" s="884"/>
      <c r="FS121" s="884"/>
      <c r="FT121" s="884"/>
      <c r="FU121" s="884"/>
      <c r="FV121" s="884"/>
      <c r="FW121" s="884"/>
      <c r="FX121" s="884"/>
      <c r="FY121" s="884"/>
      <c r="FZ121" s="884"/>
      <c r="GA121" s="884"/>
      <c r="GB121" s="884"/>
      <c r="GC121" s="884"/>
      <c r="GD121" s="884"/>
      <c r="GE121" s="884"/>
      <c r="GF121" s="884"/>
      <c r="GG121" s="884"/>
      <c r="GH121" s="884"/>
      <c r="GI121" s="884"/>
      <c r="GJ121" s="884"/>
      <c r="GK121" s="884"/>
      <c r="GL121" s="884"/>
      <c r="GM121" s="884"/>
      <c r="GN121" s="884"/>
      <c r="GO121" s="884"/>
      <c r="GP121" s="884"/>
      <c r="GQ121" s="884"/>
      <c r="GR121" s="884"/>
      <c r="GS121" s="884"/>
      <c r="GT121" s="884"/>
      <c r="GU121" s="884"/>
      <c r="GV121" s="884"/>
      <c r="GW121" s="884"/>
      <c r="GX121" s="884"/>
      <c r="GY121" s="884"/>
      <c r="GZ121" s="884"/>
      <c r="HA121" s="884"/>
      <c r="HB121" s="884"/>
      <c r="HC121" s="884"/>
      <c r="HD121" s="884"/>
      <c r="HE121" s="884"/>
      <c r="HF121" s="884"/>
      <c r="HG121" s="884"/>
      <c r="HH121" s="884"/>
      <c r="HI121" s="884"/>
      <c r="HJ121" s="884"/>
      <c r="HK121" s="884"/>
      <c r="HL121" s="884"/>
      <c r="HM121" s="884"/>
      <c r="HN121" s="884"/>
      <c r="HO121" s="884"/>
      <c r="HP121" s="884"/>
      <c r="HQ121" s="884"/>
      <c r="HR121" s="884"/>
      <c r="HS121" s="884"/>
      <c r="HT121" s="884"/>
      <c r="HU121" s="884"/>
      <c r="HV121" s="884"/>
      <c r="HW121" s="884"/>
      <c r="HX121" s="884"/>
      <c r="HY121" s="884"/>
      <c r="HZ121" s="884"/>
      <c r="IA121" s="884"/>
      <c r="IB121" s="884"/>
      <c r="IC121" s="884"/>
      <c r="ID121" s="884"/>
      <c r="IE121" s="884"/>
      <c r="IF121" s="884"/>
      <c r="IG121" s="884"/>
      <c r="IH121" s="884"/>
      <c r="II121" s="884"/>
      <c r="IJ121" s="884"/>
      <c r="IK121" s="884"/>
      <c r="IL121" s="884"/>
      <c r="IM121" s="884"/>
      <c r="IN121" s="884"/>
      <c r="IO121" s="884"/>
      <c r="IP121" s="884"/>
      <c r="IQ121" s="884"/>
      <c r="IR121" s="884"/>
      <c r="IS121" s="884"/>
      <c r="IT121" s="884"/>
      <c r="IU121" s="884"/>
      <c r="IV121" s="884"/>
      <c r="IW121" s="884"/>
      <c r="IX121" s="884"/>
      <c r="IY121" s="884"/>
      <c r="IZ121" s="884"/>
      <c r="JA121" s="884"/>
      <c r="JB121" s="884"/>
      <c r="JC121" s="884"/>
      <c r="JD121" s="884"/>
      <c r="JE121" s="884"/>
      <c r="JF121" s="884"/>
      <c r="JG121" s="884"/>
      <c r="JH121" s="884"/>
      <c r="JI121" s="884"/>
      <c r="JJ121" s="884"/>
      <c r="JK121" s="884"/>
      <c r="JL121" s="884"/>
      <c r="JM121" s="884"/>
      <c r="JN121" s="884"/>
      <c r="JO121" s="884"/>
      <c r="JP121" s="884"/>
      <c r="JQ121" s="884"/>
      <c r="JR121" s="884"/>
      <c r="JS121" s="884"/>
      <c r="JT121" s="884"/>
      <c r="JU121" s="884"/>
      <c r="JV121" s="884"/>
      <c r="JW121" s="884"/>
    </row>
    <row r="122" spans="1:283" s="883" customFormat="1" ht="42.75" x14ac:dyDescent="0.2">
      <c r="A122" s="884"/>
      <c r="B122" s="884"/>
      <c r="C122" s="4177"/>
      <c r="D122" s="4178"/>
      <c r="E122" s="973"/>
      <c r="F122" s="971"/>
      <c r="G122" s="4098"/>
      <c r="H122" s="4067"/>
      <c r="I122" s="4105"/>
      <c r="J122" s="4179"/>
      <c r="K122" s="4181"/>
      <c r="L122" s="4187"/>
      <c r="M122" s="4067"/>
      <c r="N122" s="4189"/>
      <c r="O122" s="4191"/>
      <c r="P122" s="4067"/>
      <c r="Q122" s="2638"/>
      <c r="R122" s="1025" t="s">
        <v>962</v>
      </c>
      <c r="S122" s="912">
        <v>10968198</v>
      </c>
      <c r="T122" s="1026">
        <v>20</v>
      </c>
      <c r="U122" s="1027" t="s">
        <v>62</v>
      </c>
      <c r="V122" s="4100"/>
      <c r="W122" s="4101"/>
      <c r="X122" s="4101"/>
      <c r="Y122" s="4101"/>
      <c r="Z122" s="4101"/>
      <c r="AA122" s="4101"/>
      <c r="AB122" s="4201"/>
      <c r="AC122" s="4101"/>
      <c r="AD122" s="4101"/>
      <c r="AE122" s="4201"/>
      <c r="AF122" s="4201"/>
      <c r="AG122" s="4201"/>
      <c r="AH122" s="4201"/>
      <c r="AI122" s="4201"/>
      <c r="AJ122" s="4201"/>
      <c r="AK122" s="4101"/>
      <c r="AL122" s="4203"/>
      <c r="AM122" s="4203"/>
      <c r="AN122" s="4105"/>
      <c r="AT122" s="884"/>
      <c r="AU122" s="884"/>
      <c r="AV122" s="884"/>
      <c r="AW122" s="884"/>
      <c r="AX122" s="884"/>
      <c r="AY122" s="884"/>
      <c r="AZ122" s="884"/>
      <c r="BA122" s="884"/>
      <c r="BB122" s="884"/>
      <c r="BC122" s="884"/>
      <c r="BD122" s="884"/>
      <c r="BE122" s="884"/>
      <c r="BF122" s="884"/>
      <c r="BG122" s="884"/>
      <c r="BH122" s="884"/>
      <c r="BI122" s="884"/>
      <c r="BJ122" s="884"/>
      <c r="BK122" s="884"/>
      <c r="BL122" s="884"/>
      <c r="BM122" s="884"/>
      <c r="BN122" s="884"/>
      <c r="BO122" s="884"/>
      <c r="BP122" s="884"/>
      <c r="BQ122" s="884"/>
      <c r="BR122" s="884"/>
      <c r="BS122" s="884"/>
      <c r="BT122" s="884"/>
      <c r="BU122" s="884"/>
      <c r="BV122" s="884"/>
      <c r="BW122" s="884"/>
      <c r="BX122" s="884"/>
      <c r="BY122" s="884"/>
      <c r="BZ122" s="884"/>
      <c r="CA122" s="884"/>
      <c r="CB122" s="884"/>
      <c r="CC122" s="884"/>
      <c r="CD122" s="884"/>
      <c r="CE122" s="884"/>
      <c r="CF122" s="884"/>
      <c r="CG122" s="884"/>
      <c r="CH122" s="884"/>
      <c r="CI122" s="884"/>
      <c r="CJ122" s="884"/>
      <c r="CK122" s="884"/>
      <c r="CL122" s="884"/>
      <c r="CM122" s="884"/>
      <c r="CN122" s="884"/>
      <c r="CO122" s="884"/>
      <c r="CP122" s="884"/>
      <c r="CQ122" s="884"/>
      <c r="CR122" s="884"/>
      <c r="CS122" s="884"/>
      <c r="CT122" s="884"/>
      <c r="CU122" s="884"/>
      <c r="CV122" s="884"/>
      <c r="CW122" s="884"/>
      <c r="CX122" s="884"/>
      <c r="CY122" s="884"/>
      <c r="CZ122" s="884"/>
      <c r="DA122" s="884"/>
      <c r="DB122" s="884"/>
      <c r="DC122" s="884"/>
      <c r="DD122" s="884"/>
      <c r="DE122" s="884"/>
      <c r="DF122" s="884"/>
      <c r="DG122" s="884"/>
      <c r="DH122" s="884"/>
      <c r="DI122" s="884"/>
      <c r="DJ122" s="884"/>
      <c r="DK122" s="884"/>
      <c r="DL122" s="884"/>
      <c r="DM122" s="884"/>
      <c r="DN122" s="884"/>
      <c r="DO122" s="884"/>
      <c r="DP122" s="884"/>
      <c r="DQ122" s="884"/>
      <c r="DR122" s="884"/>
      <c r="DS122" s="884"/>
      <c r="DT122" s="884"/>
      <c r="DU122" s="884"/>
      <c r="DV122" s="884"/>
      <c r="DW122" s="884"/>
      <c r="DX122" s="884"/>
      <c r="DY122" s="884"/>
      <c r="DZ122" s="884"/>
      <c r="EA122" s="884"/>
      <c r="EB122" s="884"/>
      <c r="EC122" s="884"/>
      <c r="ED122" s="884"/>
      <c r="EE122" s="884"/>
      <c r="EF122" s="884"/>
      <c r="EG122" s="884"/>
      <c r="EH122" s="884"/>
      <c r="EI122" s="884"/>
      <c r="EJ122" s="884"/>
      <c r="EK122" s="884"/>
      <c r="EL122" s="884"/>
      <c r="EM122" s="884"/>
      <c r="EN122" s="884"/>
      <c r="EO122" s="884"/>
      <c r="EP122" s="884"/>
      <c r="EQ122" s="884"/>
      <c r="ER122" s="884"/>
      <c r="ES122" s="884"/>
      <c r="ET122" s="884"/>
      <c r="EU122" s="884"/>
      <c r="EV122" s="884"/>
      <c r="EW122" s="884"/>
      <c r="EX122" s="884"/>
      <c r="EY122" s="884"/>
      <c r="EZ122" s="884"/>
      <c r="FA122" s="884"/>
      <c r="FB122" s="884"/>
      <c r="FC122" s="884"/>
      <c r="FD122" s="884"/>
      <c r="FE122" s="884"/>
      <c r="FF122" s="884"/>
      <c r="FG122" s="884"/>
      <c r="FH122" s="884"/>
      <c r="FI122" s="884"/>
      <c r="FJ122" s="884"/>
      <c r="FK122" s="884"/>
      <c r="FL122" s="884"/>
      <c r="FM122" s="884"/>
      <c r="FN122" s="884"/>
      <c r="FO122" s="884"/>
      <c r="FP122" s="884"/>
      <c r="FQ122" s="884"/>
      <c r="FR122" s="884"/>
      <c r="FS122" s="884"/>
      <c r="FT122" s="884"/>
      <c r="FU122" s="884"/>
      <c r="FV122" s="884"/>
      <c r="FW122" s="884"/>
      <c r="FX122" s="884"/>
      <c r="FY122" s="884"/>
      <c r="FZ122" s="884"/>
      <c r="GA122" s="884"/>
      <c r="GB122" s="884"/>
      <c r="GC122" s="884"/>
      <c r="GD122" s="884"/>
      <c r="GE122" s="884"/>
      <c r="GF122" s="884"/>
      <c r="GG122" s="884"/>
      <c r="GH122" s="884"/>
      <c r="GI122" s="884"/>
      <c r="GJ122" s="884"/>
      <c r="GK122" s="884"/>
      <c r="GL122" s="884"/>
      <c r="GM122" s="884"/>
      <c r="GN122" s="884"/>
      <c r="GO122" s="884"/>
      <c r="GP122" s="884"/>
      <c r="GQ122" s="884"/>
      <c r="GR122" s="884"/>
      <c r="GS122" s="884"/>
      <c r="GT122" s="884"/>
      <c r="GU122" s="884"/>
      <c r="GV122" s="884"/>
      <c r="GW122" s="884"/>
      <c r="GX122" s="884"/>
      <c r="GY122" s="884"/>
      <c r="GZ122" s="884"/>
      <c r="HA122" s="884"/>
      <c r="HB122" s="884"/>
      <c r="HC122" s="884"/>
      <c r="HD122" s="884"/>
      <c r="HE122" s="884"/>
      <c r="HF122" s="884"/>
      <c r="HG122" s="884"/>
      <c r="HH122" s="884"/>
      <c r="HI122" s="884"/>
      <c r="HJ122" s="884"/>
      <c r="HK122" s="884"/>
      <c r="HL122" s="884"/>
      <c r="HM122" s="884"/>
      <c r="HN122" s="884"/>
      <c r="HO122" s="884"/>
      <c r="HP122" s="884"/>
      <c r="HQ122" s="884"/>
      <c r="HR122" s="884"/>
      <c r="HS122" s="884"/>
      <c r="HT122" s="884"/>
      <c r="HU122" s="884"/>
      <c r="HV122" s="884"/>
      <c r="HW122" s="884"/>
      <c r="HX122" s="884"/>
      <c r="HY122" s="884"/>
      <c r="HZ122" s="884"/>
      <c r="IA122" s="884"/>
      <c r="IB122" s="884"/>
      <c r="IC122" s="884"/>
      <c r="ID122" s="884"/>
      <c r="IE122" s="884"/>
      <c r="IF122" s="884"/>
      <c r="IG122" s="884"/>
      <c r="IH122" s="884"/>
      <c r="II122" s="884"/>
      <c r="IJ122" s="884"/>
      <c r="IK122" s="884"/>
      <c r="IL122" s="884"/>
      <c r="IM122" s="884"/>
      <c r="IN122" s="884"/>
      <c r="IO122" s="884"/>
      <c r="IP122" s="884"/>
      <c r="IQ122" s="884"/>
      <c r="IR122" s="884"/>
      <c r="IS122" s="884"/>
      <c r="IT122" s="884"/>
      <c r="IU122" s="884"/>
      <c r="IV122" s="884"/>
      <c r="IW122" s="884"/>
      <c r="IX122" s="884"/>
      <c r="IY122" s="884"/>
      <c r="IZ122" s="884"/>
      <c r="JA122" s="884"/>
      <c r="JB122" s="884"/>
      <c r="JC122" s="884"/>
      <c r="JD122" s="884"/>
      <c r="JE122" s="884"/>
      <c r="JF122" s="884"/>
      <c r="JG122" s="884"/>
      <c r="JH122" s="884"/>
      <c r="JI122" s="884"/>
      <c r="JJ122" s="884"/>
      <c r="JK122" s="884"/>
      <c r="JL122" s="884"/>
      <c r="JM122" s="884"/>
      <c r="JN122" s="884"/>
      <c r="JO122" s="884"/>
      <c r="JP122" s="884"/>
      <c r="JQ122" s="884"/>
      <c r="JR122" s="884"/>
      <c r="JS122" s="884"/>
      <c r="JT122" s="884"/>
      <c r="JU122" s="884"/>
      <c r="JV122" s="884"/>
      <c r="JW122" s="884"/>
    </row>
    <row r="123" spans="1:283" s="883" customFormat="1" ht="57" x14ac:dyDescent="0.2">
      <c r="A123" s="884"/>
      <c r="B123" s="884"/>
      <c r="C123" s="4177"/>
      <c r="D123" s="4178"/>
      <c r="E123" s="973"/>
      <c r="F123" s="971"/>
      <c r="G123" s="4098"/>
      <c r="H123" s="4067"/>
      <c r="I123" s="4105"/>
      <c r="J123" s="4179"/>
      <c r="K123" s="4181"/>
      <c r="L123" s="4187"/>
      <c r="M123" s="4067"/>
      <c r="N123" s="4189"/>
      <c r="O123" s="4191"/>
      <c r="P123" s="4067"/>
      <c r="Q123" s="2638"/>
      <c r="R123" s="1025" t="s">
        <v>963</v>
      </c>
      <c r="S123" s="912">
        <v>500000</v>
      </c>
      <c r="T123" s="1026">
        <v>20</v>
      </c>
      <c r="U123" s="1027" t="s">
        <v>62</v>
      </c>
      <c r="V123" s="4100"/>
      <c r="W123" s="4101"/>
      <c r="X123" s="4101"/>
      <c r="Y123" s="4101"/>
      <c r="Z123" s="4101"/>
      <c r="AA123" s="4101"/>
      <c r="AB123" s="4201"/>
      <c r="AC123" s="4101"/>
      <c r="AD123" s="4101"/>
      <c r="AE123" s="4201"/>
      <c r="AF123" s="4201"/>
      <c r="AG123" s="4201"/>
      <c r="AH123" s="4201"/>
      <c r="AI123" s="4201"/>
      <c r="AJ123" s="4201"/>
      <c r="AK123" s="4101"/>
      <c r="AL123" s="4203"/>
      <c r="AM123" s="4203"/>
      <c r="AN123" s="4105"/>
      <c r="AT123" s="884"/>
      <c r="AU123" s="884"/>
      <c r="AV123" s="884"/>
      <c r="AW123" s="884"/>
      <c r="AX123" s="884"/>
      <c r="AY123" s="884"/>
      <c r="AZ123" s="884"/>
      <c r="BA123" s="884"/>
      <c r="BB123" s="884"/>
      <c r="BC123" s="884"/>
      <c r="BD123" s="884"/>
      <c r="BE123" s="884"/>
      <c r="BF123" s="884"/>
      <c r="BG123" s="884"/>
      <c r="BH123" s="884"/>
      <c r="BI123" s="884"/>
      <c r="BJ123" s="884"/>
      <c r="BK123" s="884"/>
      <c r="BL123" s="884"/>
      <c r="BM123" s="884"/>
      <c r="BN123" s="884"/>
      <c r="BO123" s="884"/>
      <c r="BP123" s="884"/>
      <c r="BQ123" s="884"/>
      <c r="BR123" s="884"/>
      <c r="BS123" s="884"/>
      <c r="BT123" s="884"/>
      <c r="BU123" s="884"/>
      <c r="BV123" s="884"/>
      <c r="BW123" s="884"/>
      <c r="BX123" s="884"/>
      <c r="BY123" s="884"/>
      <c r="BZ123" s="884"/>
      <c r="CA123" s="884"/>
      <c r="CB123" s="884"/>
      <c r="CC123" s="884"/>
      <c r="CD123" s="884"/>
      <c r="CE123" s="884"/>
      <c r="CF123" s="884"/>
      <c r="CG123" s="884"/>
      <c r="CH123" s="884"/>
      <c r="CI123" s="884"/>
      <c r="CJ123" s="884"/>
      <c r="CK123" s="884"/>
      <c r="CL123" s="884"/>
      <c r="CM123" s="884"/>
      <c r="CN123" s="884"/>
      <c r="CO123" s="884"/>
      <c r="CP123" s="884"/>
      <c r="CQ123" s="884"/>
      <c r="CR123" s="884"/>
      <c r="CS123" s="884"/>
      <c r="CT123" s="884"/>
      <c r="CU123" s="884"/>
      <c r="CV123" s="884"/>
      <c r="CW123" s="884"/>
      <c r="CX123" s="884"/>
      <c r="CY123" s="884"/>
      <c r="CZ123" s="884"/>
      <c r="DA123" s="884"/>
      <c r="DB123" s="884"/>
      <c r="DC123" s="884"/>
      <c r="DD123" s="884"/>
      <c r="DE123" s="884"/>
      <c r="DF123" s="884"/>
      <c r="DG123" s="884"/>
      <c r="DH123" s="884"/>
      <c r="DI123" s="884"/>
      <c r="DJ123" s="884"/>
      <c r="DK123" s="884"/>
      <c r="DL123" s="884"/>
      <c r="DM123" s="884"/>
      <c r="DN123" s="884"/>
      <c r="DO123" s="884"/>
      <c r="DP123" s="884"/>
      <c r="DQ123" s="884"/>
      <c r="DR123" s="884"/>
      <c r="DS123" s="884"/>
      <c r="DT123" s="884"/>
      <c r="DU123" s="884"/>
      <c r="DV123" s="884"/>
      <c r="DW123" s="884"/>
      <c r="DX123" s="884"/>
      <c r="DY123" s="884"/>
      <c r="DZ123" s="884"/>
      <c r="EA123" s="884"/>
      <c r="EB123" s="884"/>
      <c r="EC123" s="884"/>
      <c r="ED123" s="884"/>
      <c r="EE123" s="884"/>
      <c r="EF123" s="884"/>
      <c r="EG123" s="884"/>
      <c r="EH123" s="884"/>
      <c r="EI123" s="884"/>
      <c r="EJ123" s="884"/>
      <c r="EK123" s="884"/>
      <c r="EL123" s="884"/>
      <c r="EM123" s="884"/>
      <c r="EN123" s="884"/>
      <c r="EO123" s="884"/>
      <c r="EP123" s="884"/>
      <c r="EQ123" s="884"/>
      <c r="ER123" s="884"/>
      <c r="ES123" s="884"/>
      <c r="ET123" s="884"/>
      <c r="EU123" s="884"/>
      <c r="EV123" s="884"/>
      <c r="EW123" s="884"/>
      <c r="EX123" s="884"/>
      <c r="EY123" s="884"/>
      <c r="EZ123" s="884"/>
      <c r="FA123" s="884"/>
      <c r="FB123" s="884"/>
      <c r="FC123" s="884"/>
      <c r="FD123" s="884"/>
      <c r="FE123" s="884"/>
      <c r="FF123" s="884"/>
      <c r="FG123" s="884"/>
      <c r="FH123" s="884"/>
      <c r="FI123" s="884"/>
      <c r="FJ123" s="884"/>
      <c r="FK123" s="884"/>
      <c r="FL123" s="884"/>
      <c r="FM123" s="884"/>
      <c r="FN123" s="884"/>
      <c r="FO123" s="884"/>
      <c r="FP123" s="884"/>
      <c r="FQ123" s="884"/>
      <c r="FR123" s="884"/>
      <c r="FS123" s="884"/>
      <c r="FT123" s="884"/>
      <c r="FU123" s="884"/>
      <c r="FV123" s="884"/>
      <c r="FW123" s="884"/>
      <c r="FX123" s="884"/>
      <c r="FY123" s="884"/>
      <c r="FZ123" s="884"/>
      <c r="GA123" s="884"/>
      <c r="GB123" s="884"/>
      <c r="GC123" s="884"/>
      <c r="GD123" s="884"/>
      <c r="GE123" s="884"/>
      <c r="GF123" s="884"/>
      <c r="GG123" s="884"/>
      <c r="GH123" s="884"/>
      <c r="GI123" s="884"/>
      <c r="GJ123" s="884"/>
      <c r="GK123" s="884"/>
      <c r="GL123" s="884"/>
      <c r="GM123" s="884"/>
      <c r="GN123" s="884"/>
      <c r="GO123" s="884"/>
      <c r="GP123" s="884"/>
      <c r="GQ123" s="884"/>
      <c r="GR123" s="884"/>
      <c r="GS123" s="884"/>
      <c r="GT123" s="884"/>
      <c r="GU123" s="884"/>
      <c r="GV123" s="884"/>
      <c r="GW123" s="884"/>
      <c r="GX123" s="884"/>
      <c r="GY123" s="884"/>
      <c r="GZ123" s="884"/>
      <c r="HA123" s="884"/>
      <c r="HB123" s="884"/>
      <c r="HC123" s="884"/>
      <c r="HD123" s="884"/>
      <c r="HE123" s="884"/>
      <c r="HF123" s="884"/>
      <c r="HG123" s="884"/>
      <c r="HH123" s="884"/>
      <c r="HI123" s="884"/>
      <c r="HJ123" s="884"/>
      <c r="HK123" s="884"/>
      <c r="HL123" s="884"/>
      <c r="HM123" s="884"/>
      <c r="HN123" s="884"/>
      <c r="HO123" s="884"/>
      <c r="HP123" s="884"/>
      <c r="HQ123" s="884"/>
      <c r="HR123" s="884"/>
      <c r="HS123" s="884"/>
      <c r="HT123" s="884"/>
      <c r="HU123" s="884"/>
      <c r="HV123" s="884"/>
      <c r="HW123" s="884"/>
      <c r="HX123" s="884"/>
      <c r="HY123" s="884"/>
      <c r="HZ123" s="884"/>
      <c r="IA123" s="884"/>
      <c r="IB123" s="884"/>
      <c r="IC123" s="884"/>
      <c r="ID123" s="884"/>
      <c r="IE123" s="884"/>
      <c r="IF123" s="884"/>
      <c r="IG123" s="884"/>
      <c r="IH123" s="884"/>
      <c r="II123" s="884"/>
      <c r="IJ123" s="884"/>
      <c r="IK123" s="884"/>
      <c r="IL123" s="884"/>
      <c r="IM123" s="884"/>
      <c r="IN123" s="884"/>
      <c r="IO123" s="884"/>
      <c r="IP123" s="884"/>
      <c r="IQ123" s="884"/>
      <c r="IR123" s="884"/>
      <c r="IS123" s="884"/>
      <c r="IT123" s="884"/>
      <c r="IU123" s="884"/>
      <c r="IV123" s="884"/>
      <c r="IW123" s="884"/>
      <c r="IX123" s="884"/>
      <c r="IY123" s="884"/>
      <c r="IZ123" s="884"/>
      <c r="JA123" s="884"/>
      <c r="JB123" s="884"/>
      <c r="JC123" s="884"/>
      <c r="JD123" s="884"/>
      <c r="JE123" s="884"/>
      <c r="JF123" s="884"/>
      <c r="JG123" s="884"/>
      <c r="JH123" s="884"/>
      <c r="JI123" s="884"/>
      <c r="JJ123" s="884"/>
      <c r="JK123" s="884"/>
      <c r="JL123" s="884"/>
      <c r="JM123" s="884"/>
      <c r="JN123" s="884"/>
      <c r="JO123" s="884"/>
      <c r="JP123" s="884"/>
      <c r="JQ123" s="884"/>
      <c r="JR123" s="884"/>
      <c r="JS123" s="884"/>
      <c r="JT123" s="884"/>
      <c r="JU123" s="884"/>
      <c r="JV123" s="884"/>
      <c r="JW123" s="884"/>
    </row>
    <row r="124" spans="1:283" s="883" customFormat="1" ht="42.75" x14ac:dyDescent="0.2">
      <c r="A124" s="884"/>
      <c r="B124" s="884"/>
      <c r="C124" s="4177"/>
      <c r="D124" s="4178"/>
      <c r="E124" s="973"/>
      <c r="F124" s="971"/>
      <c r="G124" s="4098"/>
      <c r="H124" s="4067"/>
      <c r="I124" s="4105"/>
      <c r="J124" s="4179"/>
      <c r="K124" s="4181"/>
      <c r="L124" s="4187"/>
      <c r="M124" s="4067"/>
      <c r="N124" s="4189"/>
      <c r="O124" s="4191"/>
      <c r="P124" s="4067"/>
      <c r="Q124" s="2638"/>
      <c r="R124" s="1025" t="s">
        <v>964</v>
      </c>
      <c r="S124" s="912">
        <f>5940000+500000</f>
        <v>6440000</v>
      </c>
      <c r="T124" s="1026">
        <v>20</v>
      </c>
      <c r="U124" s="1027" t="s">
        <v>62</v>
      </c>
      <c r="V124" s="4100"/>
      <c r="W124" s="4101"/>
      <c r="X124" s="4101"/>
      <c r="Y124" s="4101"/>
      <c r="Z124" s="4101"/>
      <c r="AA124" s="4101"/>
      <c r="AB124" s="4201"/>
      <c r="AC124" s="4101"/>
      <c r="AD124" s="4101"/>
      <c r="AE124" s="4201"/>
      <c r="AF124" s="4201"/>
      <c r="AG124" s="4201"/>
      <c r="AH124" s="4201"/>
      <c r="AI124" s="4201"/>
      <c r="AJ124" s="4201"/>
      <c r="AK124" s="4101"/>
      <c r="AL124" s="4203"/>
      <c r="AM124" s="4203"/>
      <c r="AN124" s="4105"/>
      <c r="AT124" s="884"/>
      <c r="AU124" s="884"/>
      <c r="AV124" s="884"/>
      <c r="AW124" s="884"/>
      <c r="AX124" s="884"/>
      <c r="AY124" s="884"/>
      <c r="AZ124" s="884"/>
      <c r="BA124" s="884"/>
      <c r="BB124" s="884"/>
      <c r="BC124" s="884"/>
      <c r="BD124" s="884"/>
      <c r="BE124" s="884"/>
      <c r="BF124" s="884"/>
      <c r="BG124" s="884"/>
      <c r="BH124" s="884"/>
      <c r="BI124" s="884"/>
      <c r="BJ124" s="884"/>
      <c r="BK124" s="884"/>
      <c r="BL124" s="884"/>
      <c r="BM124" s="884"/>
      <c r="BN124" s="884"/>
      <c r="BO124" s="884"/>
      <c r="BP124" s="884"/>
      <c r="BQ124" s="884"/>
      <c r="BR124" s="884"/>
      <c r="BS124" s="884"/>
      <c r="BT124" s="884"/>
      <c r="BU124" s="884"/>
      <c r="BV124" s="884"/>
      <c r="BW124" s="884"/>
      <c r="BX124" s="884"/>
      <c r="BY124" s="884"/>
      <c r="BZ124" s="884"/>
      <c r="CA124" s="884"/>
      <c r="CB124" s="884"/>
      <c r="CC124" s="884"/>
      <c r="CD124" s="884"/>
      <c r="CE124" s="884"/>
      <c r="CF124" s="884"/>
      <c r="CG124" s="884"/>
      <c r="CH124" s="884"/>
      <c r="CI124" s="884"/>
      <c r="CJ124" s="884"/>
      <c r="CK124" s="884"/>
      <c r="CL124" s="884"/>
      <c r="CM124" s="884"/>
      <c r="CN124" s="884"/>
      <c r="CO124" s="884"/>
      <c r="CP124" s="884"/>
      <c r="CQ124" s="884"/>
      <c r="CR124" s="884"/>
      <c r="CS124" s="884"/>
      <c r="CT124" s="884"/>
      <c r="CU124" s="884"/>
      <c r="CV124" s="884"/>
      <c r="CW124" s="884"/>
      <c r="CX124" s="884"/>
      <c r="CY124" s="884"/>
      <c r="CZ124" s="884"/>
      <c r="DA124" s="884"/>
      <c r="DB124" s="884"/>
      <c r="DC124" s="884"/>
      <c r="DD124" s="884"/>
      <c r="DE124" s="884"/>
      <c r="DF124" s="884"/>
      <c r="DG124" s="884"/>
      <c r="DH124" s="884"/>
      <c r="DI124" s="884"/>
      <c r="DJ124" s="884"/>
      <c r="DK124" s="884"/>
      <c r="DL124" s="884"/>
      <c r="DM124" s="884"/>
      <c r="DN124" s="884"/>
      <c r="DO124" s="884"/>
      <c r="DP124" s="884"/>
      <c r="DQ124" s="884"/>
      <c r="DR124" s="884"/>
      <c r="DS124" s="884"/>
      <c r="DT124" s="884"/>
      <c r="DU124" s="884"/>
      <c r="DV124" s="884"/>
      <c r="DW124" s="884"/>
      <c r="DX124" s="884"/>
      <c r="DY124" s="884"/>
      <c r="DZ124" s="884"/>
      <c r="EA124" s="884"/>
      <c r="EB124" s="884"/>
      <c r="EC124" s="884"/>
      <c r="ED124" s="884"/>
      <c r="EE124" s="884"/>
      <c r="EF124" s="884"/>
      <c r="EG124" s="884"/>
      <c r="EH124" s="884"/>
      <c r="EI124" s="884"/>
      <c r="EJ124" s="884"/>
      <c r="EK124" s="884"/>
      <c r="EL124" s="884"/>
      <c r="EM124" s="884"/>
      <c r="EN124" s="884"/>
      <c r="EO124" s="884"/>
      <c r="EP124" s="884"/>
      <c r="EQ124" s="884"/>
      <c r="ER124" s="884"/>
      <c r="ES124" s="884"/>
      <c r="ET124" s="884"/>
      <c r="EU124" s="884"/>
      <c r="EV124" s="884"/>
      <c r="EW124" s="884"/>
      <c r="EX124" s="884"/>
      <c r="EY124" s="884"/>
      <c r="EZ124" s="884"/>
      <c r="FA124" s="884"/>
      <c r="FB124" s="884"/>
      <c r="FC124" s="884"/>
      <c r="FD124" s="884"/>
      <c r="FE124" s="884"/>
      <c r="FF124" s="884"/>
      <c r="FG124" s="884"/>
      <c r="FH124" s="884"/>
      <c r="FI124" s="884"/>
      <c r="FJ124" s="884"/>
      <c r="FK124" s="884"/>
      <c r="FL124" s="884"/>
      <c r="FM124" s="884"/>
      <c r="FN124" s="884"/>
      <c r="FO124" s="884"/>
      <c r="FP124" s="884"/>
      <c r="FQ124" s="884"/>
      <c r="FR124" s="884"/>
      <c r="FS124" s="884"/>
      <c r="FT124" s="884"/>
      <c r="FU124" s="884"/>
      <c r="FV124" s="884"/>
      <c r="FW124" s="884"/>
      <c r="FX124" s="884"/>
      <c r="FY124" s="884"/>
      <c r="FZ124" s="884"/>
      <c r="GA124" s="884"/>
      <c r="GB124" s="884"/>
      <c r="GC124" s="884"/>
      <c r="GD124" s="884"/>
      <c r="GE124" s="884"/>
      <c r="GF124" s="884"/>
      <c r="GG124" s="884"/>
      <c r="GH124" s="884"/>
      <c r="GI124" s="884"/>
      <c r="GJ124" s="884"/>
      <c r="GK124" s="884"/>
      <c r="GL124" s="884"/>
      <c r="GM124" s="884"/>
      <c r="GN124" s="884"/>
      <c r="GO124" s="884"/>
      <c r="GP124" s="884"/>
      <c r="GQ124" s="884"/>
      <c r="GR124" s="884"/>
      <c r="GS124" s="884"/>
      <c r="GT124" s="884"/>
      <c r="GU124" s="884"/>
      <c r="GV124" s="884"/>
      <c r="GW124" s="884"/>
      <c r="GX124" s="884"/>
      <c r="GY124" s="884"/>
      <c r="GZ124" s="884"/>
      <c r="HA124" s="884"/>
      <c r="HB124" s="884"/>
      <c r="HC124" s="884"/>
      <c r="HD124" s="884"/>
      <c r="HE124" s="884"/>
      <c r="HF124" s="884"/>
      <c r="HG124" s="884"/>
      <c r="HH124" s="884"/>
      <c r="HI124" s="884"/>
      <c r="HJ124" s="884"/>
      <c r="HK124" s="884"/>
      <c r="HL124" s="884"/>
      <c r="HM124" s="884"/>
      <c r="HN124" s="884"/>
      <c r="HO124" s="884"/>
      <c r="HP124" s="884"/>
      <c r="HQ124" s="884"/>
      <c r="HR124" s="884"/>
      <c r="HS124" s="884"/>
      <c r="HT124" s="884"/>
      <c r="HU124" s="884"/>
      <c r="HV124" s="884"/>
      <c r="HW124" s="884"/>
      <c r="HX124" s="884"/>
      <c r="HY124" s="884"/>
      <c r="HZ124" s="884"/>
      <c r="IA124" s="884"/>
      <c r="IB124" s="884"/>
      <c r="IC124" s="884"/>
      <c r="ID124" s="884"/>
      <c r="IE124" s="884"/>
      <c r="IF124" s="884"/>
      <c r="IG124" s="884"/>
      <c r="IH124" s="884"/>
      <c r="II124" s="884"/>
      <c r="IJ124" s="884"/>
      <c r="IK124" s="884"/>
      <c r="IL124" s="884"/>
      <c r="IM124" s="884"/>
      <c r="IN124" s="884"/>
      <c r="IO124" s="884"/>
      <c r="IP124" s="884"/>
      <c r="IQ124" s="884"/>
      <c r="IR124" s="884"/>
      <c r="IS124" s="884"/>
      <c r="IT124" s="884"/>
      <c r="IU124" s="884"/>
      <c r="IV124" s="884"/>
      <c r="IW124" s="884"/>
      <c r="IX124" s="884"/>
      <c r="IY124" s="884"/>
      <c r="IZ124" s="884"/>
      <c r="JA124" s="884"/>
      <c r="JB124" s="884"/>
      <c r="JC124" s="884"/>
      <c r="JD124" s="884"/>
      <c r="JE124" s="884"/>
      <c r="JF124" s="884"/>
      <c r="JG124" s="884"/>
      <c r="JH124" s="884"/>
      <c r="JI124" s="884"/>
      <c r="JJ124" s="884"/>
      <c r="JK124" s="884"/>
      <c r="JL124" s="884"/>
      <c r="JM124" s="884"/>
      <c r="JN124" s="884"/>
      <c r="JO124" s="884"/>
      <c r="JP124" s="884"/>
      <c r="JQ124" s="884"/>
      <c r="JR124" s="884"/>
      <c r="JS124" s="884"/>
      <c r="JT124" s="884"/>
      <c r="JU124" s="884"/>
      <c r="JV124" s="884"/>
      <c r="JW124" s="884"/>
    </row>
    <row r="125" spans="1:283" s="883" customFormat="1" ht="42.75" x14ac:dyDescent="0.2">
      <c r="A125" s="884"/>
      <c r="B125" s="884"/>
      <c r="C125" s="4177"/>
      <c r="D125" s="4178"/>
      <c r="E125" s="973"/>
      <c r="F125" s="971"/>
      <c r="G125" s="4098"/>
      <c r="H125" s="4067"/>
      <c r="I125" s="4105"/>
      <c r="J125" s="4179"/>
      <c r="K125" s="4181"/>
      <c r="L125" s="4187"/>
      <c r="M125" s="4067"/>
      <c r="N125" s="4189"/>
      <c r="O125" s="4191"/>
      <c r="P125" s="4067"/>
      <c r="Q125" s="2638"/>
      <c r="R125" s="1025" t="s">
        <v>965</v>
      </c>
      <c r="S125" s="912">
        <f>7920000-500000</f>
        <v>7420000</v>
      </c>
      <c r="T125" s="1026">
        <v>20</v>
      </c>
      <c r="U125" s="1027" t="s">
        <v>62</v>
      </c>
      <c r="V125" s="4100"/>
      <c r="W125" s="4101"/>
      <c r="X125" s="4101"/>
      <c r="Y125" s="4101"/>
      <c r="Z125" s="4101"/>
      <c r="AA125" s="4101"/>
      <c r="AB125" s="4201"/>
      <c r="AC125" s="4101"/>
      <c r="AD125" s="4101"/>
      <c r="AE125" s="4201"/>
      <c r="AF125" s="4201"/>
      <c r="AG125" s="4201"/>
      <c r="AH125" s="4201"/>
      <c r="AI125" s="4201"/>
      <c r="AJ125" s="4201"/>
      <c r="AK125" s="4101"/>
      <c r="AL125" s="4203"/>
      <c r="AM125" s="4203"/>
      <c r="AN125" s="4105"/>
      <c r="AT125" s="884"/>
      <c r="AU125" s="884"/>
      <c r="AV125" s="884"/>
      <c r="AW125" s="884"/>
      <c r="AX125" s="884"/>
      <c r="AY125" s="884"/>
      <c r="AZ125" s="884"/>
      <c r="BA125" s="884"/>
      <c r="BB125" s="884"/>
      <c r="BC125" s="884"/>
      <c r="BD125" s="884"/>
      <c r="BE125" s="884"/>
      <c r="BF125" s="884"/>
      <c r="BG125" s="884"/>
      <c r="BH125" s="884"/>
      <c r="BI125" s="884"/>
      <c r="BJ125" s="884"/>
      <c r="BK125" s="884"/>
      <c r="BL125" s="884"/>
      <c r="BM125" s="884"/>
      <c r="BN125" s="884"/>
      <c r="BO125" s="884"/>
      <c r="BP125" s="884"/>
      <c r="BQ125" s="884"/>
      <c r="BR125" s="884"/>
      <c r="BS125" s="884"/>
      <c r="BT125" s="884"/>
      <c r="BU125" s="884"/>
      <c r="BV125" s="884"/>
      <c r="BW125" s="884"/>
      <c r="BX125" s="884"/>
      <c r="BY125" s="884"/>
      <c r="BZ125" s="884"/>
      <c r="CA125" s="884"/>
      <c r="CB125" s="884"/>
      <c r="CC125" s="884"/>
      <c r="CD125" s="884"/>
      <c r="CE125" s="884"/>
      <c r="CF125" s="884"/>
      <c r="CG125" s="884"/>
      <c r="CH125" s="884"/>
      <c r="CI125" s="884"/>
      <c r="CJ125" s="884"/>
      <c r="CK125" s="884"/>
      <c r="CL125" s="884"/>
      <c r="CM125" s="884"/>
      <c r="CN125" s="884"/>
      <c r="CO125" s="884"/>
      <c r="CP125" s="884"/>
      <c r="CQ125" s="884"/>
      <c r="CR125" s="884"/>
      <c r="CS125" s="884"/>
      <c r="CT125" s="884"/>
      <c r="CU125" s="884"/>
      <c r="CV125" s="884"/>
      <c r="CW125" s="884"/>
      <c r="CX125" s="884"/>
      <c r="CY125" s="884"/>
      <c r="CZ125" s="884"/>
      <c r="DA125" s="884"/>
      <c r="DB125" s="884"/>
      <c r="DC125" s="884"/>
      <c r="DD125" s="884"/>
      <c r="DE125" s="884"/>
      <c r="DF125" s="884"/>
      <c r="DG125" s="884"/>
      <c r="DH125" s="884"/>
      <c r="DI125" s="884"/>
      <c r="DJ125" s="884"/>
      <c r="DK125" s="884"/>
      <c r="DL125" s="884"/>
      <c r="DM125" s="884"/>
      <c r="DN125" s="884"/>
      <c r="DO125" s="884"/>
      <c r="DP125" s="884"/>
      <c r="DQ125" s="884"/>
      <c r="DR125" s="884"/>
      <c r="DS125" s="884"/>
      <c r="DT125" s="884"/>
      <c r="DU125" s="884"/>
      <c r="DV125" s="884"/>
      <c r="DW125" s="884"/>
      <c r="DX125" s="884"/>
      <c r="DY125" s="884"/>
      <c r="DZ125" s="884"/>
      <c r="EA125" s="884"/>
      <c r="EB125" s="884"/>
      <c r="EC125" s="884"/>
      <c r="ED125" s="884"/>
      <c r="EE125" s="884"/>
      <c r="EF125" s="884"/>
      <c r="EG125" s="884"/>
      <c r="EH125" s="884"/>
      <c r="EI125" s="884"/>
      <c r="EJ125" s="884"/>
      <c r="EK125" s="884"/>
      <c r="EL125" s="884"/>
      <c r="EM125" s="884"/>
      <c r="EN125" s="884"/>
      <c r="EO125" s="884"/>
      <c r="EP125" s="884"/>
      <c r="EQ125" s="884"/>
      <c r="ER125" s="884"/>
      <c r="ES125" s="884"/>
      <c r="ET125" s="884"/>
      <c r="EU125" s="884"/>
      <c r="EV125" s="884"/>
      <c r="EW125" s="884"/>
      <c r="EX125" s="884"/>
      <c r="EY125" s="884"/>
      <c r="EZ125" s="884"/>
      <c r="FA125" s="884"/>
      <c r="FB125" s="884"/>
      <c r="FC125" s="884"/>
      <c r="FD125" s="884"/>
      <c r="FE125" s="884"/>
      <c r="FF125" s="884"/>
      <c r="FG125" s="884"/>
      <c r="FH125" s="884"/>
      <c r="FI125" s="884"/>
      <c r="FJ125" s="884"/>
      <c r="FK125" s="884"/>
      <c r="FL125" s="884"/>
      <c r="FM125" s="884"/>
      <c r="FN125" s="884"/>
      <c r="FO125" s="884"/>
      <c r="FP125" s="884"/>
      <c r="FQ125" s="884"/>
      <c r="FR125" s="884"/>
      <c r="FS125" s="884"/>
      <c r="FT125" s="884"/>
      <c r="FU125" s="884"/>
      <c r="FV125" s="884"/>
      <c r="FW125" s="884"/>
      <c r="FX125" s="884"/>
      <c r="FY125" s="884"/>
      <c r="FZ125" s="884"/>
      <c r="GA125" s="884"/>
      <c r="GB125" s="884"/>
      <c r="GC125" s="884"/>
      <c r="GD125" s="884"/>
      <c r="GE125" s="884"/>
      <c r="GF125" s="884"/>
      <c r="GG125" s="884"/>
      <c r="GH125" s="884"/>
      <c r="GI125" s="884"/>
      <c r="GJ125" s="884"/>
      <c r="GK125" s="884"/>
      <c r="GL125" s="884"/>
      <c r="GM125" s="884"/>
      <c r="GN125" s="884"/>
      <c r="GO125" s="884"/>
      <c r="GP125" s="884"/>
      <c r="GQ125" s="884"/>
      <c r="GR125" s="884"/>
      <c r="GS125" s="884"/>
      <c r="GT125" s="884"/>
      <c r="GU125" s="884"/>
      <c r="GV125" s="884"/>
      <c r="GW125" s="884"/>
      <c r="GX125" s="884"/>
      <c r="GY125" s="884"/>
      <c r="GZ125" s="884"/>
      <c r="HA125" s="884"/>
      <c r="HB125" s="884"/>
      <c r="HC125" s="884"/>
      <c r="HD125" s="884"/>
      <c r="HE125" s="884"/>
      <c r="HF125" s="884"/>
      <c r="HG125" s="884"/>
      <c r="HH125" s="884"/>
      <c r="HI125" s="884"/>
      <c r="HJ125" s="884"/>
      <c r="HK125" s="884"/>
      <c r="HL125" s="884"/>
      <c r="HM125" s="884"/>
      <c r="HN125" s="884"/>
      <c r="HO125" s="884"/>
      <c r="HP125" s="884"/>
      <c r="HQ125" s="884"/>
      <c r="HR125" s="884"/>
      <c r="HS125" s="884"/>
      <c r="HT125" s="884"/>
      <c r="HU125" s="884"/>
      <c r="HV125" s="884"/>
      <c r="HW125" s="884"/>
      <c r="HX125" s="884"/>
      <c r="HY125" s="884"/>
      <c r="HZ125" s="884"/>
      <c r="IA125" s="884"/>
      <c r="IB125" s="884"/>
      <c r="IC125" s="884"/>
      <c r="ID125" s="884"/>
      <c r="IE125" s="884"/>
      <c r="IF125" s="884"/>
      <c r="IG125" s="884"/>
      <c r="IH125" s="884"/>
      <c r="II125" s="884"/>
      <c r="IJ125" s="884"/>
      <c r="IK125" s="884"/>
      <c r="IL125" s="884"/>
      <c r="IM125" s="884"/>
      <c r="IN125" s="884"/>
      <c r="IO125" s="884"/>
      <c r="IP125" s="884"/>
      <c r="IQ125" s="884"/>
      <c r="IR125" s="884"/>
      <c r="IS125" s="884"/>
      <c r="IT125" s="884"/>
      <c r="IU125" s="884"/>
      <c r="IV125" s="884"/>
      <c r="IW125" s="884"/>
      <c r="IX125" s="884"/>
      <c r="IY125" s="884"/>
      <c r="IZ125" s="884"/>
      <c r="JA125" s="884"/>
      <c r="JB125" s="884"/>
      <c r="JC125" s="884"/>
      <c r="JD125" s="884"/>
      <c r="JE125" s="884"/>
      <c r="JF125" s="884"/>
      <c r="JG125" s="884"/>
      <c r="JH125" s="884"/>
      <c r="JI125" s="884"/>
      <c r="JJ125" s="884"/>
      <c r="JK125" s="884"/>
      <c r="JL125" s="884"/>
      <c r="JM125" s="884"/>
      <c r="JN125" s="884"/>
      <c r="JO125" s="884"/>
      <c r="JP125" s="884"/>
      <c r="JQ125" s="884"/>
      <c r="JR125" s="884"/>
      <c r="JS125" s="884"/>
      <c r="JT125" s="884"/>
      <c r="JU125" s="884"/>
      <c r="JV125" s="884"/>
      <c r="JW125" s="884"/>
    </row>
    <row r="126" spans="1:283" s="883" customFormat="1" ht="38.25" customHeight="1" x14ac:dyDescent="0.2">
      <c r="A126" s="884"/>
      <c r="B126" s="884"/>
      <c r="C126" s="4177"/>
      <c r="D126" s="4178"/>
      <c r="E126" s="973"/>
      <c r="F126" s="971"/>
      <c r="G126" s="4098"/>
      <c r="H126" s="4067"/>
      <c r="I126" s="4105"/>
      <c r="J126" s="4179"/>
      <c r="K126" s="4181"/>
      <c r="L126" s="4187"/>
      <c r="M126" s="4067"/>
      <c r="N126" s="4189"/>
      <c r="O126" s="4191"/>
      <c r="P126" s="4067"/>
      <c r="Q126" s="2638"/>
      <c r="R126" s="1028" t="s">
        <v>966</v>
      </c>
      <c r="S126" s="912">
        <v>5000000</v>
      </c>
      <c r="T126" s="1026">
        <v>20</v>
      </c>
      <c r="U126" s="1027" t="s">
        <v>62</v>
      </c>
      <c r="V126" s="4100"/>
      <c r="W126" s="4101"/>
      <c r="X126" s="4101"/>
      <c r="Y126" s="4101"/>
      <c r="Z126" s="4101"/>
      <c r="AA126" s="4101"/>
      <c r="AB126" s="4201"/>
      <c r="AC126" s="4101"/>
      <c r="AD126" s="4101"/>
      <c r="AE126" s="4201"/>
      <c r="AF126" s="4201"/>
      <c r="AG126" s="4201"/>
      <c r="AH126" s="4201"/>
      <c r="AI126" s="4201"/>
      <c r="AJ126" s="4201"/>
      <c r="AK126" s="4101"/>
      <c r="AL126" s="4203"/>
      <c r="AM126" s="4203"/>
      <c r="AN126" s="4105"/>
      <c r="AT126" s="884"/>
      <c r="AU126" s="884"/>
      <c r="AV126" s="884"/>
      <c r="AW126" s="884"/>
      <c r="AX126" s="884"/>
      <c r="AY126" s="884"/>
      <c r="AZ126" s="884"/>
      <c r="BA126" s="884"/>
      <c r="BB126" s="884"/>
      <c r="BC126" s="884"/>
      <c r="BD126" s="884"/>
      <c r="BE126" s="884"/>
      <c r="BF126" s="884"/>
      <c r="BG126" s="884"/>
      <c r="BH126" s="884"/>
      <c r="BI126" s="884"/>
      <c r="BJ126" s="884"/>
      <c r="BK126" s="884"/>
      <c r="BL126" s="884"/>
      <c r="BM126" s="884"/>
      <c r="BN126" s="884"/>
      <c r="BO126" s="884"/>
      <c r="BP126" s="884"/>
      <c r="BQ126" s="884"/>
      <c r="BR126" s="884"/>
      <c r="BS126" s="884"/>
      <c r="BT126" s="884"/>
      <c r="BU126" s="884"/>
      <c r="BV126" s="884"/>
      <c r="BW126" s="884"/>
      <c r="BX126" s="884"/>
      <c r="BY126" s="884"/>
      <c r="BZ126" s="884"/>
      <c r="CA126" s="884"/>
      <c r="CB126" s="884"/>
      <c r="CC126" s="884"/>
      <c r="CD126" s="884"/>
      <c r="CE126" s="884"/>
      <c r="CF126" s="884"/>
      <c r="CG126" s="884"/>
      <c r="CH126" s="884"/>
      <c r="CI126" s="884"/>
      <c r="CJ126" s="884"/>
      <c r="CK126" s="884"/>
      <c r="CL126" s="884"/>
      <c r="CM126" s="884"/>
      <c r="CN126" s="884"/>
      <c r="CO126" s="884"/>
      <c r="CP126" s="884"/>
      <c r="CQ126" s="884"/>
      <c r="CR126" s="884"/>
      <c r="CS126" s="884"/>
      <c r="CT126" s="884"/>
      <c r="CU126" s="884"/>
      <c r="CV126" s="884"/>
      <c r="CW126" s="884"/>
      <c r="CX126" s="884"/>
      <c r="CY126" s="884"/>
      <c r="CZ126" s="884"/>
      <c r="DA126" s="884"/>
      <c r="DB126" s="884"/>
      <c r="DC126" s="884"/>
      <c r="DD126" s="884"/>
      <c r="DE126" s="884"/>
      <c r="DF126" s="884"/>
      <c r="DG126" s="884"/>
      <c r="DH126" s="884"/>
      <c r="DI126" s="884"/>
      <c r="DJ126" s="884"/>
      <c r="DK126" s="884"/>
      <c r="DL126" s="884"/>
      <c r="DM126" s="884"/>
      <c r="DN126" s="884"/>
      <c r="DO126" s="884"/>
      <c r="DP126" s="884"/>
      <c r="DQ126" s="884"/>
      <c r="DR126" s="884"/>
      <c r="DS126" s="884"/>
      <c r="DT126" s="884"/>
      <c r="DU126" s="884"/>
      <c r="DV126" s="884"/>
      <c r="DW126" s="884"/>
      <c r="DX126" s="884"/>
      <c r="DY126" s="884"/>
      <c r="DZ126" s="884"/>
      <c r="EA126" s="884"/>
      <c r="EB126" s="884"/>
      <c r="EC126" s="884"/>
      <c r="ED126" s="884"/>
      <c r="EE126" s="884"/>
      <c r="EF126" s="884"/>
      <c r="EG126" s="884"/>
      <c r="EH126" s="884"/>
      <c r="EI126" s="884"/>
      <c r="EJ126" s="884"/>
      <c r="EK126" s="884"/>
      <c r="EL126" s="884"/>
      <c r="EM126" s="884"/>
      <c r="EN126" s="884"/>
      <c r="EO126" s="884"/>
      <c r="EP126" s="884"/>
      <c r="EQ126" s="884"/>
      <c r="ER126" s="884"/>
      <c r="ES126" s="884"/>
      <c r="ET126" s="884"/>
      <c r="EU126" s="884"/>
      <c r="EV126" s="884"/>
      <c r="EW126" s="884"/>
      <c r="EX126" s="884"/>
      <c r="EY126" s="884"/>
      <c r="EZ126" s="884"/>
      <c r="FA126" s="884"/>
      <c r="FB126" s="884"/>
      <c r="FC126" s="884"/>
      <c r="FD126" s="884"/>
      <c r="FE126" s="884"/>
      <c r="FF126" s="884"/>
      <c r="FG126" s="884"/>
      <c r="FH126" s="884"/>
      <c r="FI126" s="884"/>
      <c r="FJ126" s="884"/>
      <c r="FK126" s="884"/>
      <c r="FL126" s="884"/>
      <c r="FM126" s="884"/>
      <c r="FN126" s="884"/>
      <c r="FO126" s="884"/>
      <c r="FP126" s="884"/>
      <c r="FQ126" s="884"/>
      <c r="FR126" s="884"/>
      <c r="FS126" s="884"/>
      <c r="FT126" s="884"/>
      <c r="FU126" s="884"/>
      <c r="FV126" s="884"/>
      <c r="FW126" s="884"/>
      <c r="FX126" s="884"/>
      <c r="FY126" s="884"/>
      <c r="FZ126" s="884"/>
      <c r="GA126" s="884"/>
      <c r="GB126" s="884"/>
      <c r="GC126" s="884"/>
      <c r="GD126" s="884"/>
      <c r="GE126" s="884"/>
      <c r="GF126" s="884"/>
      <c r="GG126" s="884"/>
      <c r="GH126" s="884"/>
      <c r="GI126" s="884"/>
      <c r="GJ126" s="884"/>
      <c r="GK126" s="884"/>
      <c r="GL126" s="884"/>
      <c r="GM126" s="884"/>
      <c r="GN126" s="884"/>
      <c r="GO126" s="884"/>
      <c r="GP126" s="884"/>
      <c r="GQ126" s="884"/>
      <c r="GR126" s="884"/>
      <c r="GS126" s="884"/>
      <c r="GT126" s="884"/>
      <c r="GU126" s="884"/>
      <c r="GV126" s="884"/>
      <c r="GW126" s="884"/>
      <c r="GX126" s="884"/>
      <c r="GY126" s="884"/>
      <c r="GZ126" s="884"/>
      <c r="HA126" s="884"/>
      <c r="HB126" s="884"/>
      <c r="HC126" s="884"/>
      <c r="HD126" s="884"/>
      <c r="HE126" s="884"/>
      <c r="HF126" s="884"/>
      <c r="HG126" s="884"/>
      <c r="HH126" s="884"/>
      <c r="HI126" s="884"/>
      <c r="HJ126" s="884"/>
      <c r="HK126" s="884"/>
      <c r="HL126" s="884"/>
      <c r="HM126" s="884"/>
      <c r="HN126" s="884"/>
      <c r="HO126" s="884"/>
      <c r="HP126" s="884"/>
      <c r="HQ126" s="884"/>
      <c r="HR126" s="884"/>
      <c r="HS126" s="884"/>
      <c r="HT126" s="884"/>
      <c r="HU126" s="884"/>
      <c r="HV126" s="884"/>
      <c r="HW126" s="884"/>
      <c r="HX126" s="884"/>
      <c r="HY126" s="884"/>
      <c r="HZ126" s="884"/>
      <c r="IA126" s="884"/>
      <c r="IB126" s="884"/>
      <c r="IC126" s="884"/>
      <c r="ID126" s="884"/>
      <c r="IE126" s="884"/>
      <c r="IF126" s="884"/>
      <c r="IG126" s="884"/>
      <c r="IH126" s="884"/>
      <c r="II126" s="884"/>
      <c r="IJ126" s="884"/>
      <c r="IK126" s="884"/>
      <c r="IL126" s="884"/>
      <c r="IM126" s="884"/>
      <c r="IN126" s="884"/>
      <c r="IO126" s="884"/>
      <c r="IP126" s="884"/>
      <c r="IQ126" s="884"/>
      <c r="IR126" s="884"/>
      <c r="IS126" s="884"/>
      <c r="IT126" s="884"/>
      <c r="IU126" s="884"/>
      <c r="IV126" s="884"/>
      <c r="IW126" s="884"/>
      <c r="IX126" s="884"/>
      <c r="IY126" s="884"/>
      <c r="IZ126" s="884"/>
      <c r="JA126" s="884"/>
      <c r="JB126" s="884"/>
      <c r="JC126" s="884"/>
      <c r="JD126" s="884"/>
      <c r="JE126" s="884"/>
      <c r="JF126" s="884"/>
      <c r="JG126" s="884"/>
      <c r="JH126" s="884"/>
      <c r="JI126" s="884"/>
      <c r="JJ126" s="884"/>
      <c r="JK126" s="884"/>
      <c r="JL126" s="884"/>
      <c r="JM126" s="884"/>
      <c r="JN126" s="884"/>
      <c r="JO126" s="884"/>
      <c r="JP126" s="884"/>
      <c r="JQ126" s="884"/>
      <c r="JR126" s="884"/>
      <c r="JS126" s="884"/>
      <c r="JT126" s="884"/>
      <c r="JU126" s="884"/>
      <c r="JV126" s="884"/>
      <c r="JW126" s="884"/>
    </row>
    <row r="127" spans="1:283" s="883" customFormat="1" ht="28.5" x14ac:dyDescent="0.2">
      <c r="A127" s="884"/>
      <c r="B127" s="884"/>
      <c r="C127" s="4177"/>
      <c r="D127" s="4178"/>
      <c r="E127" s="973"/>
      <c r="F127" s="971"/>
      <c r="G127" s="4098"/>
      <c r="H127" s="4067"/>
      <c r="I127" s="4105"/>
      <c r="J127" s="4179"/>
      <c r="K127" s="4181"/>
      <c r="L127" s="4187"/>
      <c r="M127" s="4067"/>
      <c r="N127" s="4189"/>
      <c r="O127" s="4191"/>
      <c r="P127" s="4067"/>
      <c r="Q127" s="2638"/>
      <c r="R127" s="1028" t="s">
        <v>967</v>
      </c>
      <c r="S127" s="912">
        <v>3500000</v>
      </c>
      <c r="T127" s="1026">
        <v>20</v>
      </c>
      <c r="U127" s="1027" t="s">
        <v>62</v>
      </c>
      <c r="V127" s="4100"/>
      <c r="W127" s="4101"/>
      <c r="X127" s="4101"/>
      <c r="Y127" s="4101"/>
      <c r="Z127" s="4101"/>
      <c r="AA127" s="4101"/>
      <c r="AB127" s="4201"/>
      <c r="AC127" s="4101"/>
      <c r="AD127" s="4101"/>
      <c r="AE127" s="4201"/>
      <c r="AF127" s="4201"/>
      <c r="AG127" s="4201"/>
      <c r="AH127" s="4201"/>
      <c r="AI127" s="4201"/>
      <c r="AJ127" s="4201"/>
      <c r="AK127" s="4101"/>
      <c r="AL127" s="4203"/>
      <c r="AM127" s="4203"/>
      <c r="AN127" s="4105"/>
      <c r="AT127" s="884"/>
      <c r="AU127" s="884"/>
      <c r="AV127" s="884"/>
      <c r="AW127" s="884"/>
      <c r="AX127" s="884"/>
      <c r="AY127" s="884"/>
      <c r="AZ127" s="884"/>
      <c r="BA127" s="884"/>
      <c r="BB127" s="884"/>
      <c r="BC127" s="884"/>
      <c r="BD127" s="884"/>
      <c r="BE127" s="884"/>
      <c r="BF127" s="884"/>
      <c r="BG127" s="884"/>
      <c r="BH127" s="884"/>
      <c r="BI127" s="884"/>
      <c r="BJ127" s="884"/>
      <c r="BK127" s="884"/>
      <c r="BL127" s="884"/>
      <c r="BM127" s="884"/>
      <c r="BN127" s="884"/>
      <c r="BO127" s="884"/>
      <c r="BP127" s="884"/>
      <c r="BQ127" s="884"/>
      <c r="BR127" s="884"/>
      <c r="BS127" s="884"/>
      <c r="BT127" s="884"/>
      <c r="BU127" s="884"/>
      <c r="BV127" s="884"/>
      <c r="BW127" s="884"/>
      <c r="BX127" s="884"/>
      <c r="BY127" s="884"/>
      <c r="BZ127" s="884"/>
      <c r="CA127" s="884"/>
      <c r="CB127" s="884"/>
      <c r="CC127" s="884"/>
      <c r="CD127" s="884"/>
      <c r="CE127" s="884"/>
      <c r="CF127" s="884"/>
      <c r="CG127" s="884"/>
      <c r="CH127" s="884"/>
      <c r="CI127" s="884"/>
      <c r="CJ127" s="884"/>
      <c r="CK127" s="884"/>
      <c r="CL127" s="884"/>
      <c r="CM127" s="884"/>
      <c r="CN127" s="884"/>
      <c r="CO127" s="884"/>
      <c r="CP127" s="884"/>
      <c r="CQ127" s="884"/>
      <c r="CR127" s="884"/>
      <c r="CS127" s="884"/>
      <c r="CT127" s="884"/>
      <c r="CU127" s="884"/>
      <c r="CV127" s="884"/>
      <c r="CW127" s="884"/>
      <c r="CX127" s="884"/>
      <c r="CY127" s="884"/>
      <c r="CZ127" s="884"/>
      <c r="DA127" s="884"/>
      <c r="DB127" s="884"/>
      <c r="DC127" s="884"/>
      <c r="DD127" s="884"/>
      <c r="DE127" s="884"/>
      <c r="DF127" s="884"/>
      <c r="DG127" s="884"/>
      <c r="DH127" s="884"/>
      <c r="DI127" s="884"/>
      <c r="DJ127" s="884"/>
      <c r="DK127" s="884"/>
      <c r="DL127" s="884"/>
      <c r="DM127" s="884"/>
      <c r="DN127" s="884"/>
      <c r="DO127" s="884"/>
      <c r="DP127" s="884"/>
      <c r="DQ127" s="884"/>
      <c r="DR127" s="884"/>
      <c r="DS127" s="884"/>
      <c r="DT127" s="884"/>
      <c r="DU127" s="884"/>
      <c r="DV127" s="884"/>
      <c r="DW127" s="884"/>
      <c r="DX127" s="884"/>
      <c r="DY127" s="884"/>
      <c r="DZ127" s="884"/>
      <c r="EA127" s="884"/>
      <c r="EB127" s="884"/>
      <c r="EC127" s="884"/>
      <c r="ED127" s="884"/>
      <c r="EE127" s="884"/>
      <c r="EF127" s="884"/>
      <c r="EG127" s="884"/>
      <c r="EH127" s="884"/>
      <c r="EI127" s="884"/>
      <c r="EJ127" s="884"/>
      <c r="EK127" s="884"/>
      <c r="EL127" s="884"/>
      <c r="EM127" s="884"/>
      <c r="EN127" s="884"/>
      <c r="EO127" s="884"/>
      <c r="EP127" s="884"/>
      <c r="EQ127" s="884"/>
      <c r="ER127" s="884"/>
      <c r="ES127" s="884"/>
      <c r="ET127" s="884"/>
      <c r="EU127" s="884"/>
      <c r="EV127" s="884"/>
      <c r="EW127" s="884"/>
      <c r="EX127" s="884"/>
      <c r="EY127" s="884"/>
      <c r="EZ127" s="884"/>
      <c r="FA127" s="884"/>
      <c r="FB127" s="884"/>
      <c r="FC127" s="884"/>
      <c r="FD127" s="884"/>
      <c r="FE127" s="884"/>
      <c r="FF127" s="884"/>
      <c r="FG127" s="884"/>
      <c r="FH127" s="884"/>
      <c r="FI127" s="884"/>
      <c r="FJ127" s="884"/>
      <c r="FK127" s="884"/>
      <c r="FL127" s="884"/>
      <c r="FM127" s="884"/>
      <c r="FN127" s="884"/>
      <c r="FO127" s="884"/>
      <c r="FP127" s="884"/>
      <c r="FQ127" s="884"/>
      <c r="FR127" s="884"/>
      <c r="FS127" s="884"/>
      <c r="FT127" s="884"/>
      <c r="FU127" s="884"/>
      <c r="FV127" s="884"/>
      <c r="FW127" s="884"/>
      <c r="FX127" s="884"/>
      <c r="FY127" s="884"/>
      <c r="FZ127" s="884"/>
      <c r="GA127" s="884"/>
      <c r="GB127" s="884"/>
      <c r="GC127" s="884"/>
      <c r="GD127" s="884"/>
      <c r="GE127" s="884"/>
      <c r="GF127" s="884"/>
      <c r="GG127" s="884"/>
      <c r="GH127" s="884"/>
      <c r="GI127" s="884"/>
      <c r="GJ127" s="884"/>
      <c r="GK127" s="884"/>
      <c r="GL127" s="884"/>
      <c r="GM127" s="884"/>
      <c r="GN127" s="884"/>
      <c r="GO127" s="884"/>
      <c r="GP127" s="884"/>
      <c r="GQ127" s="884"/>
      <c r="GR127" s="884"/>
      <c r="GS127" s="884"/>
      <c r="GT127" s="884"/>
      <c r="GU127" s="884"/>
      <c r="GV127" s="884"/>
      <c r="GW127" s="884"/>
      <c r="GX127" s="884"/>
      <c r="GY127" s="884"/>
      <c r="GZ127" s="884"/>
      <c r="HA127" s="884"/>
      <c r="HB127" s="884"/>
      <c r="HC127" s="884"/>
      <c r="HD127" s="884"/>
      <c r="HE127" s="884"/>
      <c r="HF127" s="884"/>
      <c r="HG127" s="884"/>
      <c r="HH127" s="884"/>
      <c r="HI127" s="884"/>
      <c r="HJ127" s="884"/>
      <c r="HK127" s="884"/>
      <c r="HL127" s="884"/>
      <c r="HM127" s="884"/>
      <c r="HN127" s="884"/>
      <c r="HO127" s="884"/>
      <c r="HP127" s="884"/>
      <c r="HQ127" s="884"/>
      <c r="HR127" s="884"/>
      <c r="HS127" s="884"/>
      <c r="HT127" s="884"/>
      <c r="HU127" s="884"/>
      <c r="HV127" s="884"/>
      <c r="HW127" s="884"/>
      <c r="HX127" s="884"/>
      <c r="HY127" s="884"/>
      <c r="HZ127" s="884"/>
      <c r="IA127" s="884"/>
      <c r="IB127" s="884"/>
      <c r="IC127" s="884"/>
      <c r="ID127" s="884"/>
      <c r="IE127" s="884"/>
      <c r="IF127" s="884"/>
      <c r="IG127" s="884"/>
      <c r="IH127" s="884"/>
      <c r="II127" s="884"/>
      <c r="IJ127" s="884"/>
      <c r="IK127" s="884"/>
      <c r="IL127" s="884"/>
      <c r="IM127" s="884"/>
      <c r="IN127" s="884"/>
      <c r="IO127" s="884"/>
      <c r="IP127" s="884"/>
      <c r="IQ127" s="884"/>
      <c r="IR127" s="884"/>
      <c r="IS127" s="884"/>
      <c r="IT127" s="884"/>
      <c r="IU127" s="884"/>
      <c r="IV127" s="884"/>
      <c r="IW127" s="884"/>
      <c r="IX127" s="884"/>
      <c r="IY127" s="884"/>
      <c r="IZ127" s="884"/>
      <c r="JA127" s="884"/>
      <c r="JB127" s="884"/>
      <c r="JC127" s="884"/>
      <c r="JD127" s="884"/>
      <c r="JE127" s="884"/>
      <c r="JF127" s="884"/>
      <c r="JG127" s="884"/>
      <c r="JH127" s="884"/>
      <c r="JI127" s="884"/>
      <c r="JJ127" s="884"/>
      <c r="JK127" s="884"/>
      <c r="JL127" s="884"/>
      <c r="JM127" s="884"/>
      <c r="JN127" s="884"/>
      <c r="JO127" s="884"/>
      <c r="JP127" s="884"/>
      <c r="JQ127" s="884"/>
      <c r="JR127" s="884"/>
      <c r="JS127" s="884"/>
      <c r="JT127" s="884"/>
      <c r="JU127" s="884"/>
      <c r="JV127" s="884"/>
      <c r="JW127" s="884"/>
    </row>
    <row r="128" spans="1:283" s="883" customFormat="1" ht="71.25" x14ac:dyDescent="0.2">
      <c r="A128" s="884"/>
      <c r="B128" s="884"/>
      <c r="C128" s="4177"/>
      <c r="D128" s="4178"/>
      <c r="E128" s="973"/>
      <c r="F128" s="971"/>
      <c r="G128" s="2494">
        <v>199</v>
      </c>
      <c r="H128" s="1029" t="s">
        <v>968</v>
      </c>
      <c r="I128" s="2487" t="s">
        <v>969</v>
      </c>
      <c r="J128" s="2491">
        <v>4</v>
      </c>
      <c r="K128" s="1030"/>
      <c r="L128" s="4187"/>
      <c r="M128" s="4067"/>
      <c r="N128" s="1031">
        <f>+S128/O121</f>
        <v>1.0056806012068655E-2</v>
      </c>
      <c r="O128" s="4191"/>
      <c r="P128" s="4067"/>
      <c r="Q128" s="2638"/>
      <c r="R128" s="2488" t="s">
        <v>970</v>
      </c>
      <c r="S128" s="912">
        <v>40000000</v>
      </c>
      <c r="T128" s="1026">
        <v>20</v>
      </c>
      <c r="U128" s="1027" t="s">
        <v>62</v>
      </c>
      <c r="V128" s="4100"/>
      <c r="W128" s="4101"/>
      <c r="X128" s="4101"/>
      <c r="Y128" s="4101"/>
      <c r="Z128" s="4101"/>
      <c r="AA128" s="4101"/>
      <c r="AB128" s="4201"/>
      <c r="AC128" s="4101"/>
      <c r="AD128" s="4101"/>
      <c r="AE128" s="4201"/>
      <c r="AF128" s="4201"/>
      <c r="AG128" s="4201"/>
      <c r="AH128" s="4201"/>
      <c r="AI128" s="4201"/>
      <c r="AJ128" s="4201"/>
      <c r="AK128" s="4101"/>
      <c r="AL128" s="4203"/>
      <c r="AM128" s="4203"/>
      <c r="AN128" s="4105"/>
      <c r="AT128" s="884"/>
      <c r="AU128" s="884"/>
      <c r="AV128" s="884"/>
      <c r="AW128" s="884"/>
      <c r="AX128" s="884"/>
      <c r="AY128" s="884"/>
      <c r="AZ128" s="884"/>
      <c r="BA128" s="884"/>
      <c r="BB128" s="884"/>
      <c r="BC128" s="884"/>
      <c r="BD128" s="884"/>
      <c r="BE128" s="884"/>
      <c r="BF128" s="884"/>
      <c r="BG128" s="884"/>
      <c r="BH128" s="884"/>
      <c r="BI128" s="884"/>
      <c r="BJ128" s="884"/>
      <c r="BK128" s="884"/>
      <c r="BL128" s="884"/>
      <c r="BM128" s="884"/>
      <c r="BN128" s="884"/>
      <c r="BO128" s="884"/>
      <c r="BP128" s="884"/>
      <c r="BQ128" s="884"/>
      <c r="BR128" s="884"/>
      <c r="BS128" s="884"/>
      <c r="BT128" s="884"/>
      <c r="BU128" s="884"/>
      <c r="BV128" s="884"/>
      <c r="BW128" s="884"/>
      <c r="BX128" s="884"/>
      <c r="BY128" s="884"/>
      <c r="BZ128" s="884"/>
      <c r="CA128" s="884"/>
      <c r="CB128" s="884"/>
      <c r="CC128" s="884"/>
      <c r="CD128" s="884"/>
      <c r="CE128" s="884"/>
      <c r="CF128" s="884"/>
      <c r="CG128" s="884"/>
      <c r="CH128" s="884"/>
      <c r="CI128" s="884"/>
      <c r="CJ128" s="884"/>
      <c r="CK128" s="884"/>
      <c r="CL128" s="884"/>
      <c r="CM128" s="884"/>
      <c r="CN128" s="884"/>
      <c r="CO128" s="884"/>
      <c r="CP128" s="884"/>
      <c r="CQ128" s="884"/>
      <c r="CR128" s="884"/>
      <c r="CS128" s="884"/>
      <c r="CT128" s="884"/>
      <c r="CU128" s="884"/>
      <c r="CV128" s="884"/>
      <c r="CW128" s="884"/>
      <c r="CX128" s="884"/>
      <c r="CY128" s="884"/>
      <c r="CZ128" s="884"/>
      <c r="DA128" s="884"/>
      <c r="DB128" s="884"/>
      <c r="DC128" s="884"/>
      <c r="DD128" s="884"/>
      <c r="DE128" s="884"/>
      <c r="DF128" s="884"/>
      <c r="DG128" s="884"/>
      <c r="DH128" s="884"/>
      <c r="DI128" s="884"/>
      <c r="DJ128" s="884"/>
      <c r="DK128" s="884"/>
      <c r="DL128" s="884"/>
      <c r="DM128" s="884"/>
      <c r="DN128" s="884"/>
      <c r="DO128" s="884"/>
      <c r="DP128" s="884"/>
      <c r="DQ128" s="884"/>
      <c r="DR128" s="884"/>
      <c r="DS128" s="884"/>
      <c r="DT128" s="884"/>
      <c r="DU128" s="884"/>
      <c r="DV128" s="884"/>
      <c r="DW128" s="884"/>
      <c r="DX128" s="884"/>
      <c r="DY128" s="884"/>
      <c r="DZ128" s="884"/>
      <c r="EA128" s="884"/>
      <c r="EB128" s="884"/>
      <c r="EC128" s="884"/>
      <c r="ED128" s="884"/>
      <c r="EE128" s="884"/>
      <c r="EF128" s="884"/>
      <c r="EG128" s="884"/>
      <c r="EH128" s="884"/>
      <c r="EI128" s="884"/>
      <c r="EJ128" s="884"/>
      <c r="EK128" s="884"/>
      <c r="EL128" s="884"/>
      <c r="EM128" s="884"/>
      <c r="EN128" s="884"/>
      <c r="EO128" s="884"/>
      <c r="EP128" s="884"/>
      <c r="EQ128" s="884"/>
      <c r="ER128" s="884"/>
      <c r="ES128" s="884"/>
      <c r="ET128" s="884"/>
      <c r="EU128" s="884"/>
      <c r="EV128" s="884"/>
      <c r="EW128" s="884"/>
      <c r="EX128" s="884"/>
      <c r="EY128" s="884"/>
      <c r="EZ128" s="884"/>
      <c r="FA128" s="884"/>
      <c r="FB128" s="884"/>
      <c r="FC128" s="884"/>
      <c r="FD128" s="884"/>
      <c r="FE128" s="884"/>
      <c r="FF128" s="884"/>
      <c r="FG128" s="884"/>
      <c r="FH128" s="884"/>
      <c r="FI128" s="884"/>
      <c r="FJ128" s="884"/>
      <c r="FK128" s="884"/>
      <c r="FL128" s="884"/>
      <c r="FM128" s="884"/>
      <c r="FN128" s="884"/>
      <c r="FO128" s="884"/>
      <c r="FP128" s="884"/>
      <c r="FQ128" s="884"/>
      <c r="FR128" s="884"/>
      <c r="FS128" s="884"/>
      <c r="FT128" s="884"/>
      <c r="FU128" s="884"/>
      <c r="FV128" s="884"/>
      <c r="FW128" s="884"/>
      <c r="FX128" s="884"/>
      <c r="FY128" s="884"/>
      <c r="FZ128" s="884"/>
      <c r="GA128" s="884"/>
      <c r="GB128" s="884"/>
      <c r="GC128" s="884"/>
      <c r="GD128" s="884"/>
      <c r="GE128" s="884"/>
      <c r="GF128" s="884"/>
      <c r="GG128" s="884"/>
      <c r="GH128" s="884"/>
      <c r="GI128" s="884"/>
      <c r="GJ128" s="884"/>
      <c r="GK128" s="884"/>
      <c r="GL128" s="884"/>
      <c r="GM128" s="884"/>
      <c r="GN128" s="884"/>
      <c r="GO128" s="884"/>
      <c r="GP128" s="884"/>
      <c r="GQ128" s="884"/>
      <c r="GR128" s="884"/>
      <c r="GS128" s="884"/>
      <c r="GT128" s="884"/>
      <c r="GU128" s="884"/>
      <c r="GV128" s="884"/>
      <c r="GW128" s="884"/>
      <c r="GX128" s="884"/>
      <c r="GY128" s="884"/>
      <c r="GZ128" s="884"/>
      <c r="HA128" s="884"/>
      <c r="HB128" s="884"/>
      <c r="HC128" s="884"/>
      <c r="HD128" s="884"/>
      <c r="HE128" s="884"/>
      <c r="HF128" s="884"/>
      <c r="HG128" s="884"/>
      <c r="HH128" s="884"/>
      <c r="HI128" s="884"/>
      <c r="HJ128" s="884"/>
      <c r="HK128" s="884"/>
      <c r="HL128" s="884"/>
      <c r="HM128" s="884"/>
      <c r="HN128" s="884"/>
      <c r="HO128" s="884"/>
      <c r="HP128" s="884"/>
      <c r="HQ128" s="884"/>
      <c r="HR128" s="884"/>
      <c r="HS128" s="884"/>
      <c r="HT128" s="884"/>
      <c r="HU128" s="884"/>
      <c r="HV128" s="884"/>
      <c r="HW128" s="884"/>
      <c r="HX128" s="884"/>
      <c r="HY128" s="884"/>
      <c r="HZ128" s="884"/>
      <c r="IA128" s="884"/>
      <c r="IB128" s="884"/>
      <c r="IC128" s="884"/>
      <c r="ID128" s="884"/>
      <c r="IE128" s="884"/>
      <c r="IF128" s="884"/>
      <c r="IG128" s="884"/>
      <c r="IH128" s="884"/>
      <c r="II128" s="884"/>
      <c r="IJ128" s="884"/>
      <c r="IK128" s="884"/>
      <c r="IL128" s="884"/>
      <c r="IM128" s="884"/>
      <c r="IN128" s="884"/>
      <c r="IO128" s="884"/>
      <c r="IP128" s="884"/>
      <c r="IQ128" s="884"/>
      <c r="IR128" s="884"/>
      <c r="IS128" s="884"/>
      <c r="IT128" s="884"/>
      <c r="IU128" s="884"/>
      <c r="IV128" s="884"/>
      <c r="IW128" s="884"/>
      <c r="IX128" s="884"/>
      <c r="IY128" s="884"/>
      <c r="IZ128" s="884"/>
      <c r="JA128" s="884"/>
      <c r="JB128" s="884"/>
      <c r="JC128" s="884"/>
      <c r="JD128" s="884"/>
      <c r="JE128" s="884"/>
      <c r="JF128" s="884"/>
      <c r="JG128" s="884"/>
      <c r="JH128" s="884"/>
      <c r="JI128" s="884"/>
      <c r="JJ128" s="884"/>
      <c r="JK128" s="884"/>
      <c r="JL128" s="884"/>
      <c r="JM128" s="884"/>
      <c r="JN128" s="884"/>
      <c r="JO128" s="884"/>
      <c r="JP128" s="884"/>
      <c r="JQ128" s="884"/>
      <c r="JR128" s="884"/>
      <c r="JS128" s="884"/>
      <c r="JT128" s="884"/>
      <c r="JU128" s="884"/>
      <c r="JV128" s="884"/>
      <c r="JW128" s="884"/>
    </row>
    <row r="129" spans="1:283" s="883" customFormat="1" ht="33.75" customHeight="1" x14ac:dyDescent="0.2">
      <c r="A129" s="884"/>
      <c r="B129" s="884"/>
      <c r="C129" s="4177"/>
      <c r="D129" s="4178"/>
      <c r="E129" s="973"/>
      <c r="F129" s="971"/>
      <c r="G129" s="4097">
        <v>200</v>
      </c>
      <c r="H129" s="4193" t="s">
        <v>971</v>
      </c>
      <c r="I129" s="4195" t="s">
        <v>972</v>
      </c>
      <c r="J129" s="4196">
        <v>12</v>
      </c>
      <c r="K129" s="4198" t="s">
        <v>973</v>
      </c>
      <c r="L129" s="4187"/>
      <c r="M129" s="4067"/>
      <c r="N129" s="4188">
        <f>+(S129+S130)/O121</f>
        <v>0.29367717068350546</v>
      </c>
      <c r="O129" s="4191"/>
      <c r="P129" s="4067"/>
      <c r="Q129" s="2660" t="s">
        <v>974</v>
      </c>
      <c r="R129" s="4182" t="s">
        <v>975</v>
      </c>
      <c r="S129" s="912">
        <v>1111986335</v>
      </c>
      <c r="T129" s="1033">
        <v>6</v>
      </c>
      <c r="U129" s="1027" t="s">
        <v>976</v>
      </c>
      <c r="V129" s="4100"/>
      <c r="W129" s="4101"/>
      <c r="X129" s="4101"/>
      <c r="Y129" s="4101"/>
      <c r="Z129" s="4101"/>
      <c r="AA129" s="4101"/>
      <c r="AB129" s="4201"/>
      <c r="AC129" s="4101"/>
      <c r="AD129" s="4101"/>
      <c r="AE129" s="4201"/>
      <c r="AF129" s="4201"/>
      <c r="AG129" s="4201"/>
      <c r="AH129" s="4201"/>
      <c r="AI129" s="4201"/>
      <c r="AJ129" s="4201"/>
      <c r="AK129" s="4101"/>
      <c r="AL129" s="4203"/>
      <c r="AM129" s="4203"/>
      <c r="AN129" s="4105"/>
      <c r="AT129" s="884"/>
      <c r="AU129" s="884"/>
      <c r="AV129" s="884"/>
      <c r="AW129" s="884"/>
      <c r="AX129" s="884"/>
      <c r="AY129" s="884"/>
      <c r="AZ129" s="884"/>
      <c r="BA129" s="884"/>
      <c r="BB129" s="884"/>
      <c r="BC129" s="884"/>
      <c r="BD129" s="884"/>
      <c r="BE129" s="884"/>
      <c r="BF129" s="884"/>
      <c r="BG129" s="884"/>
      <c r="BH129" s="884"/>
      <c r="BI129" s="884"/>
      <c r="BJ129" s="884"/>
      <c r="BK129" s="884"/>
      <c r="BL129" s="884"/>
      <c r="BM129" s="884"/>
      <c r="BN129" s="884"/>
      <c r="BO129" s="884"/>
      <c r="BP129" s="884"/>
      <c r="BQ129" s="884"/>
      <c r="BR129" s="884"/>
      <c r="BS129" s="884"/>
      <c r="BT129" s="884"/>
      <c r="BU129" s="884"/>
      <c r="BV129" s="884"/>
      <c r="BW129" s="884"/>
      <c r="BX129" s="884"/>
      <c r="BY129" s="884"/>
      <c r="BZ129" s="884"/>
      <c r="CA129" s="884"/>
      <c r="CB129" s="884"/>
      <c r="CC129" s="884"/>
      <c r="CD129" s="884"/>
      <c r="CE129" s="884"/>
      <c r="CF129" s="884"/>
      <c r="CG129" s="884"/>
      <c r="CH129" s="884"/>
      <c r="CI129" s="884"/>
      <c r="CJ129" s="884"/>
      <c r="CK129" s="884"/>
      <c r="CL129" s="884"/>
      <c r="CM129" s="884"/>
      <c r="CN129" s="884"/>
      <c r="CO129" s="884"/>
      <c r="CP129" s="884"/>
      <c r="CQ129" s="884"/>
      <c r="CR129" s="884"/>
      <c r="CS129" s="884"/>
      <c r="CT129" s="884"/>
      <c r="CU129" s="884"/>
      <c r="CV129" s="884"/>
      <c r="CW129" s="884"/>
      <c r="CX129" s="884"/>
      <c r="CY129" s="884"/>
      <c r="CZ129" s="884"/>
      <c r="DA129" s="884"/>
      <c r="DB129" s="884"/>
      <c r="DC129" s="884"/>
      <c r="DD129" s="884"/>
      <c r="DE129" s="884"/>
      <c r="DF129" s="884"/>
      <c r="DG129" s="884"/>
      <c r="DH129" s="884"/>
      <c r="DI129" s="884"/>
      <c r="DJ129" s="884"/>
      <c r="DK129" s="884"/>
      <c r="DL129" s="884"/>
      <c r="DM129" s="884"/>
      <c r="DN129" s="884"/>
      <c r="DO129" s="884"/>
      <c r="DP129" s="884"/>
      <c r="DQ129" s="884"/>
      <c r="DR129" s="884"/>
      <c r="DS129" s="884"/>
      <c r="DT129" s="884"/>
      <c r="DU129" s="884"/>
      <c r="DV129" s="884"/>
      <c r="DW129" s="884"/>
      <c r="DX129" s="884"/>
      <c r="DY129" s="884"/>
      <c r="DZ129" s="884"/>
      <c r="EA129" s="884"/>
      <c r="EB129" s="884"/>
      <c r="EC129" s="884"/>
      <c r="ED129" s="884"/>
      <c r="EE129" s="884"/>
      <c r="EF129" s="884"/>
      <c r="EG129" s="884"/>
      <c r="EH129" s="884"/>
      <c r="EI129" s="884"/>
      <c r="EJ129" s="884"/>
      <c r="EK129" s="884"/>
      <c r="EL129" s="884"/>
      <c r="EM129" s="884"/>
      <c r="EN129" s="884"/>
      <c r="EO129" s="884"/>
      <c r="EP129" s="884"/>
      <c r="EQ129" s="884"/>
      <c r="ER129" s="884"/>
      <c r="ES129" s="884"/>
      <c r="ET129" s="884"/>
      <c r="EU129" s="884"/>
      <c r="EV129" s="884"/>
      <c r="EW129" s="884"/>
      <c r="EX129" s="884"/>
      <c r="EY129" s="884"/>
      <c r="EZ129" s="884"/>
      <c r="FA129" s="884"/>
      <c r="FB129" s="884"/>
      <c r="FC129" s="884"/>
      <c r="FD129" s="884"/>
      <c r="FE129" s="884"/>
      <c r="FF129" s="884"/>
      <c r="FG129" s="884"/>
      <c r="FH129" s="884"/>
      <c r="FI129" s="884"/>
      <c r="FJ129" s="884"/>
      <c r="FK129" s="884"/>
      <c r="FL129" s="884"/>
      <c r="FM129" s="884"/>
      <c r="FN129" s="884"/>
      <c r="FO129" s="884"/>
      <c r="FP129" s="884"/>
      <c r="FQ129" s="884"/>
      <c r="FR129" s="884"/>
      <c r="FS129" s="884"/>
      <c r="FT129" s="884"/>
      <c r="FU129" s="884"/>
      <c r="FV129" s="884"/>
      <c r="FW129" s="884"/>
      <c r="FX129" s="884"/>
      <c r="FY129" s="884"/>
      <c r="FZ129" s="884"/>
      <c r="GA129" s="884"/>
      <c r="GB129" s="884"/>
      <c r="GC129" s="884"/>
      <c r="GD129" s="884"/>
      <c r="GE129" s="884"/>
      <c r="GF129" s="884"/>
      <c r="GG129" s="884"/>
      <c r="GH129" s="884"/>
      <c r="GI129" s="884"/>
      <c r="GJ129" s="884"/>
      <c r="GK129" s="884"/>
      <c r="GL129" s="884"/>
      <c r="GM129" s="884"/>
      <c r="GN129" s="884"/>
      <c r="GO129" s="884"/>
      <c r="GP129" s="884"/>
      <c r="GQ129" s="884"/>
      <c r="GR129" s="884"/>
      <c r="GS129" s="884"/>
      <c r="GT129" s="884"/>
      <c r="GU129" s="884"/>
      <c r="GV129" s="884"/>
      <c r="GW129" s="884"/>
      <c r="GX129" s="884"/>
      <c r="GY129" s="884"/>
      <c r="GZ129" s="884"/>
      <c r="HA129" s="884"/>
      <c r="HB129" s="884"/>
      <c r="HC129" s="884"/>
      <c r="HD129" s="884"/>
      <c r="HE129" s="884"/>
      <c r="HF129" s="884"/>
      <c r="HG129" s="884"/>
      <c r="HH129" s="884"/>
      <c r="HI129" s="884"/>
      <c r="HJ129" s="884"/>
      <c r="HK129" s="884"/>
      <c r="HL129" s="884"/>
      <c r="HM129" s="884"/>
      <c r="HN129" s="884"/>
      <c r="HO129" s="884"/>
      <c r="HP129" s="884"/>
      <c r="HQ129" s="884"/>
      <c r="HR129" s="884"/>
      <c r="HS129" s="884"/>
      <c r="HT129" s="884"/>
      <c r="HU129" s="884"/>
      <c r="HV129" s="884"/>
      <c r="HW129" s="884"/>
      <c r="HX129" s="884"/>
      <c r="HY129" s="884"/>
      <c r="HZ129" s="884"/>
      <c r="IA129" s="884"/>
      <c r="IB129" s="884"/>
      <c r="IC129" s="884"/>
      <c r="ID129" s="884"/>
      <c r="IE129" s="884"/>
      <c r="IF129" s="884"/>
      <c r="IG129" s="884"/>
      <c r="IH129" s="884"/>
      <c r="II129" s="884"/>
      <c r="IJ129" s="884"/>
      <c r="IK129" s="884"/>
      <c r="IL129" s="884"/>
      <c r="IM129" s="884"/>
      <c r="IN129" s="884"/>
      <c r="IO129" s="884"/>
      <c r="IP129" s="884"/>
      <c r="IQ129" s="884"/>
      <c r="IR129" s="884"/>
      <c r="IS129" s="884"/>
      <c r="IT129" s="884"/>
      <c r="IU129" s="884"/>
      <c r="IV129" s="884"/>
      <c r="IW129" s="884"/>
      <c r="IX129" s="884"/>
      <c r="IY129" s="884"/>
      <c r="IZ129" s="884"/>
      <c r="JA129" s="884"/>
      <c r="JB129" s="884"/>
      <c r="JC129" s="884"/>
      <c r="JD129" s="884"/>
      <c r="JE129" s="884"/>
      <c r="JF129" s="884"/>
      <c r="JG129" s="884"/>
      <c r="JH129" s="884"/>
      <c r="JI129" s="884"/>
      <c r="JJ129" s="884"/>
      <c r="JK129" s="884"/>
      <c r="JL129" s="884"/>
      <c r="JM129" s="884"/>
      <c r="JN129" s="884"/>
      <c r="JO129" s="884"/>
      <c r="JP129" s="884"/>
      <c r="JQ129" s="884"/>
      <c r="JR129" s="884"/>
      <c r="JS129" s="884"/>
      <c r="JT129" s="884"/>
      <c r="JU129" s="884"/>
      <c r="JV129" s="884"/>
      <c r="JW129" s="884"/>
    </row>
    <row r="130" spans="1:283" s="883" customFormat="1" ht="33.75" customHeight="1" x14ac:dyDescent="0.2">
      <c r="A130" s="884"/>
      <c r="B130" s="884"/>
      <c r="C130" s="4177"/>
      <c r="D130" s="4178"/>
      <c r="E130" s="973"/>
      <c r="F130" s="971"/>
      <c r="G130" s="4115"/>
      <c r="H130" s="4194"/>
      <c r="I130" s="4195"/>
      <c r="J130" s="4197"/>
      <c r="K130" s="4198"/>
      <c r="L130" s="4187"/>
      <c r="M130" s="4067"/>
      <c r="N130" s="4192"/>
      <c r="O130" s="4191"/>
      <c r="P130" s="4067"/>
      <c r="Q130" s="4105"/>
      <c r="R130" s="4200"/>
      <c r="S130" s="912">
        <f>0+56086989</f>
        <v>56086989</v>
      </c>
      <c r="T130" s="1034">
        <v>84</v>
      </c>
      <c r="U130" s="1035" t="s">
        <v>977</v>
      </c>
      <c r="V130" s="4100"/>
      <c r="W130" s="4101"/>
      <c r="X130" s="4101"/>
      <c r="Y130" s="4101"/>
      <c r="Z130" s="4101"/>
      <c r="AA130" s="4101"/>
      <c r="AB130" s="4201"/>
      <c r="AC130" s="4101"/>
      <c r="AD130" s="4101"/>
      <c r="AE130" s="4201"/>
      <c r="AF130" s="4201"/>
      <c r="AG130" s="4201"/>
      <c r="AH130" s="4201"/>
      <c r="AI130" s="4201"/>
      <c r="AJ130" s="4201"/>
      <c r="AK130" s="4101"/>
      <c r="AL130" s="4203"/>
      <c r="AM130" s="4203"/>
      <c r="AN130" s="4105"/>
      <c r="AT130" s="884"/>
      <c r="AU130" s="884"/>
      <c r="AV130" s="884"/>
      <c r="AW130" s="884"/>
      <c r="AX130" s="884"/>
      <c r="AY130" s="884"/>
      <c r="AZ130" s="884"/>
      <c r="BA130" s="884"/>
      <c r="BB130" s="884"/>
      <c r="BC130" s="884"/>
      <c r="BD130" s="884"/>
      <c r="BE130" s="884"/>
      <c r="BF130" s="884"/>
      <c r="BG130" s="884"/>
      <c r="BH130" s="884"/>
      <c r="BI130" s="884"/>
      <c r="BJ130" s="884"/>
      <c r="BK130" s="884"/>
      <c r="BL130" s="884"/>
      <c r="BM130" s="884"/>
      <c r="BN130" s="884"/>
      <c r="BO130" s="884"/>
      <c r="BP130" s="884"/>
      <c r="BQ130" s="884"/>
      <c r="BR130" s="884"/>
      <c r="BS130" s="884"/>
      <c r="BT130" s="884"/>
      <c r="BU130" s="884"/>
      <c r="BV130" s="884"/>
      <c r="BW130" s="884"/>
      <c r="BX130" s="884"/>
      <c r="BY130" s="884"/>
      <c r="BZ130" s="884"/>
      <c r="CA130" s="884"/>
      <c r="CB130" s="884"/>
      <c r="CC130" s="884"/>
      <c r="CD130" s="884"/>
      <c r="CE130" s="884"/>
      <c r="CF130" s="884"/>
      <c r="CG130" s="884"/>
      <c r="CH130" s="884"/>
      <c r="CI130" s="884"/>
      <c r="CJ130" s="884"/>
      <c r="CK130" s="884"/>
      <c r="CL130" s="884"/>
      <c r="CM130" s="884"/>
      <c r="CN130" s="884"/>
      <c r="CO130" s="884"/>
      <c r="CP130" s="884"/>
      <c r="CQ130" s="884"/>
      <c r="CR130" s="884"/>
      <c r="CS130" s="884"/>
      <c r="CT130" s="884"/>
      <c r="CU130" s="884"/>
      <c r="CV130" s="884"/>
      <c r="CW130" s="884"/>
      <c r="CX130" s="884"/>
      <c r="CY130" s="884"/>
      <c r="CZ130" s="884"/>
      <c r="DA130" s="884"/>
      <c r="DB130" s="884"/>
      <c r="DC130" s="884"/>
      <c r="DD130" s="884"/>
      <c r="DE130" s="884"/>
      <c r="DF130" s="884"/>
      <c r="DG130" s="884"/>
      <c r="DH130" s="884"/>
      <c r="DI130" s="884"/>
      <c r="DJ130" s="884"/>
      <c r="DK130" s="884"/>
      <c r="DL130" s="884"/>
      <c r="DM130" s="884"/>
      <c r="DN130" s="884"/>
      <c r="DO130" s="884"/>
      <c r="DP130" s="884"/>
      <c r="DQ130" s="884"/>
      <c r="DR130" s="884"/>
      <c r="DS130" s="884"/>
      <c r="DT130" s="884"/>
      <c r="DU130" s="884"/>
      <c r="DV130" s="884"/>
      <c r="DW130" s="884"/>
      <c r="DX130" s="884"/>
      <c r="DY130" s="884"/>
      <c r="DZ130" s="884"/>
      <c r="EA130" s="884"/>
      <c r="EB130" s="884"/>
      <c r="EC130" s="884"/>
      <c r="ED130" s="884"/>
      <c r="EE130" s="884"/>
      <c r="EF130" s="884"/>
      <c r="EG130" s="884"/>
      <c r="EH130" s="884"/>
      <c r="EI130" s="884"/>
      <c r="EJ130" s="884"/>
      <c r="EK130" s="884"/>
      <c r="EL130" s="884"/>
      <c r="EM130" s="884"/>
      <c r="EN130" s="884"/>
      <c r="EO130" s="884"/>
      <c r="EP130" s="884"/>
      <c r="EQ130" s="884"/>
      <c r="ER130" s="884"/>
      <c r="ES130" s="884"/>
      <c r="ET130" s="884"/>
      <c r="EU130" s="884"/>
      <c r="EV130" s="884"/>
      <c r="EW130" s="884"/>
      <c r="EX130" s="884"/>
      <c r="EY130" s="884"/>
      <c r="EZ130" s="884"/>
      <c r="FA130" s="884"/>
      <c r="FB130" s="884"/>
      <c r="FC130" s="884"/>
      <c r="FD130" s="884"/>
      <c r="FE130" s="884"/>
      <c r="FF130" s="884"/>
      <c r="FG130" s="884"/>
      <c r="FH130" s="884"/>
      <c r="FI130" s="884"/>
      <c r="FJ130" s="884"/>
      <c r="FK130" s="884"/>
      <c r="FL130" s="884"/>
      <c r="FM130" s="884"/>
      <c r="FN130" s="884"/>
      <c r="FO130" s="884"/>
      <c r="FP130" s="884"/>
      <c r="FQ130" s="884"/>
      <c r="FR130" s="884"/>
      <c r="FS130" s="884"/>
      <c r="FT130" s="884"/>
      <c r="FU130" s="884"/>
      <c r="FV130" s="884"/>
      <c r="FW130" s="884"/>
      <c r="FX130" s="884"/>
      <c r="FY130" s="884"/>
      <c r="FZ130" s="884"/>
      <c r="GA130" s="884"/>
      <c r="GB130" s="884"/>
      <c r="GC130" s="884"/>
      <c r="GD130" s="884"/>
      <c r="GE130" s="884"/>
      <c r="GF130" s="884"/>
      <c r="GG130" s="884"/>
      <c r="GH130" s="884"/>
      <c r="GI130" s="884"/>
      <c r="GJ130" s="884"/>
      <c r="GK130" s="884"/>
      <c r="GL130" s="884"/>
      <c r="GM130" s="884"/>
      <c r="GN130" s="884"/>
      <c r="GO130" s="884"/>
      <c r="GP130" s="884"/>
      <c r="GQ130" s="884"/>
      <c r="GR130" s="884"/>
      <c r="GS130" s="884"/>
      <c r="GT130" s="884"/>
      <c r="GU130" s="884"/>
      <c r="GV130" s="884"/>
      <c r="GW130" s="884"/>
      <c r="GX130" s="884"/>
      <c r="GY130" s="884"/>
      <c r="GZ130" s="884"/>
      <c r="HA130" s="884"/>
      <c r="HB130" s="884"/>
      <c r="HC130" s="884"/>
      <c r="HD130" s="884"/>
      <c r="HE130" s="884"/>
      <c r="HF130" s="884"/>
      <c r="HG130" s="884"/>
      <c r="HH130" s="884"/>
      <c r="HI130" s="884"/>
      <c r="HJ130" s="884"/>
      <c r="HK130" s="884"/>
      <c r="HL130" s="884"/>
      <c r="HM130" s="884"/>
      <c r="HN130" s="884"/>
      <c r="HO130" s="884"/>
      <c r="HP130" s="884"/>
      <c r="HQ130" s="884"/>
      <c r="HR130" s="884"/>
      <c r="HS130" s="884"/>
      <c r="HT130" s="884"/>
      <c r="HU130" s="884"/>
      <c r="HV130" s="884"/>
      <c r="HW130" s="884"/>
      <c r="HX130" s="884"/>
      <c r="HY130" s="884"/>
      <c r="HZ130" s="884"/>
      <c r="IA130" s="884"/>
      <c r="IB130" s="884"/>
      <c r="IC130" s="884"/>
      <c r="ID130" s="884"/>
      <c r="IE130" s="884"/>
      <c r="IF130" s="884"/>
      <c r="IG130" s="884"/>
      <c r="IH130" s="884"/>
      <c r="II130" s="884"/>
      <c r="IJ130" s="884"/>
      <c r="IK130" s="884"/>
      <c r="IL130" s="884"/>
      <c r="IM130" s="884"/>
      <c r="IN130" s="884"/>
      <c r="IO130" s="884"/>
      <c r="IP130" s="884"/>
      <c r="IQ130" s="884"/>
      <c r="IR130" s="884"/>
      <c r="IS130" s="884"/>
      <c r="IT130" s="884"/>
      <c r="IU130" s="884"/>
      <c r="IV130" s="884"/>
      <c r="IW130" s="884"/>
      <c r="IX130" s="884"/>
      <c r="IY130" s="884"/>
      <c r="IZ130" s="884"/>
      <c r="JA130" s="884"/>
      <c r="JB130" s="884"/>
      <c r="JC130" s="884"/>
      <c r="JD130" s="884"/>
      <c r="JE130" s="884"/>
      <c r="JF130" s="884"/>
      <c r="JG130" s="884"/>
      <c r="JH130" s="884"/>
      <c r="JI130" s="884"/>
      <c r="JJ130" s="884"/>
      <c r="JK130" s="884"/>
      <c r="JL130" s="884"/>
      <c r="JM130" s="884"/>
      <c r="JN130" s="884"/>
      <c r="JO130" s="884"/>
      <c r="JP130" s="884"/>
      <c r="JQ130" s="884"/>
      <c r="JR130" s="884"/>
      <c r="JS130" s="884"/>
      <c r="JT130" s="884"/>
      <c r="JU130" s="884"/>
      <c r="JV130" s="884"/>
      <c r="JW130" s="884"/>
    </row>
    <row r="131" spans="1:283" s="883" customFormat="1" ht="33.75" customHeight="1" x14ac:dyDescent="0.2">
      <c r="A131" s="884"/>
      <c r="B131" s="884"/>
      <c r="C131" s="4177"/>
      <c r="D131" s="4178"/>
      <c r="E131" s="973"/>
      <c r="F131" s="971"/>
      <c r="G131" s="4097">
        <v>201</v>
      </c>
      <c r="H131" s="4182" t="s">
        <v>978</v>
      </c>
      <c r="I131" s="2771" t="s">
        <v>979</v>
      </c>
      <c r="J131" s="4184">
        <v>14</v>
      </c>
      <c r="K131" s="4199"/>
      <c r="L131" s="4187"/>
      <c r="M131" s="4067"/>
      <c r="N131" s="4188">
        <f>(S132+S131)/O121</f>
        <v>0.68524673117581247</v>
      </c>
      <c r="O131" s="4191"/>
      <c r="P131" s="4067"/>
      <c r="Q131" s="4105"/>
      <c r="R131" s="4182" t="s">
        <v>980</v>
      </c>
      <c r="S131" s="912">
        <v>2594634781</v>
      </c>
      <c r="T131" s="1036">
        <v>6</v>
      </c>
      <c r="U131" s="1037" t="s">
        <v>976</v>
      </c>
      <c r="V131" s="4100"/>
      <c r="W131" s="4101"/>
      <c r="X131" s="4101"/>
      <c r="Y131" s="4101"/>
      <c r="Z131" s="4101"/>
      <c r="AA131" s="4101"/>
      <c r="AB131" s="4201"/>
      <c r="AC131" s="4101"/>
      <c r="AD131" s="4101"/>
      <c r="AE131" s="4201"/>
      <c r="AF131" s="4201"/>
      <c r="AG131" s="4201"/>
      <c r="AH131" s="4201"/>
      <c r="AI131" s="4201"/>
      <c r="AJ131" s="4201"/>
      <c r="AK131" s="4101"/>
      <c r="AL131" s="4203"/>
      <c r="AM131" s="4203"/>
      <c r="AN131" s="4105"/>
      <c r="AT131" s="884"/>
      <c r="AU131" s="884"/>
      <c r="AV131" s="884"/>
      <c r="AW131" s="884"/>
      <c r="AX131" s="884"/>
      <c r="AY131" s="884"/>
      <c r="AZ131" s="884"/>
      <c r="BA131" s="884"/>
      <c r="BB131" s="884"/>
      <c r="BC131" s="884"/>
      <c r="BD131" s="884"/>
      <c r="BE131" s="884"/>
      <c r="BF131" s="884"/>
      <c r="BG131" s="884"/>
      <c r="BH131" s="884"/>
      <c r="BI131" s="884"/>
      <c r="BJ131" s="884"/>
      <c r="BK131" s="884"/>
      <c r="BL131" s="884"/>
      <c r="BM131" s="884"/>
      <c r="BN131" s="884"/>
      <c r="BO131" s="884"/>
      <c r="BP131" s="884"/>
      <c r="BQ131" s="884"/>
      <c r="BR131" s="884"/>
      <c r="BS131" s="884"/>
      <c r="BT131" s="884"/>
      <c r="BU131" s="884"/>
      <c r="BV131" s="884"/>
      <c r="BW131" s="884"/>
      <c r="BX131" s="884"/>
      <c r="BY131" s="884"/>
      <c r="BZ131" s="884"/>
      <c r="CA131" s="884"/>
      <c r="CB131" s="884"/>
      <c r="CC131" s="884"/>
      <c r="CD131" s="884"/>
      <c r="CE131" s="884"/>
      <c r="CF131" s="884"/>
      <c r="CG131" s="884"/>
      <c r="CH131" s="884"/>
      <c r="CI131" s="884"/>
      <c r="CJ131" s="884"/>
      <c r="CK131" s="884"/>
      <c r="CL131" s="884"/>
      <c r="CM131" s="884"/>
      <c r="CN131" s="884"/>
      <c r="CO131" s="884"/>
      <c r="CP131" s="884"/>
      <c r="CQ131" s="884"/>
      <c r="CR131" s="884"/>
      <c r="CS131" s="884"/>
      <c r="CT131" s="884"/>
      <c r="CU131" s="884"/>
      <c r="CV131" s="884"/>
      <c r="CW131" s="884"/>
      <c r="CX131" s="884"/>
      <c r="CY131" s="884"/>
      <c r="CZ131" s="884"/>
      <c r="DA131" s="884"/>
      <c r="DB131" s="884"/>
      <c r="DC131" s="884"/>
      <c r="DD131" s="884"/>
      <c r="DE131" s="884"/>
      <c r="DF131" s="884"/>
      <c r="DG131" s="884"/>
      <c r="DH131" s="884"/>
      <c r="DI131" s="884"/>
      <c r="DJ131" s="884"/>
      <c r="DK131" s="884"/>
      <c r="DL131" s="884"/>
      <c r="DM131" s="884"/>
      <c r="DN131" s="884"/>
      <c r="DO131" s="884"/>
      <c r="DP131" s="884"/>
      <c r="DQ131" s="884"/>
      <c r="DR131" s="884"/>
      <c r="DS131" s="884"/>
      <c r="DT131" s="884"/>
      <c r="DU131" s="884"/>
      <c r="DV131" s="884"/>
      <c r="DW131" s="884"/>
      <c r="DX131" s="884"/>
      <c r="DY131" s="884"/>
      <c r="DZ131" s="884"/>
      <c r="EA131" s="884"/>
      <c r="EB131" s="884"/>
      <c r="EC131" s="884"/>
      <c r="ED131" s="884"/>
      <c r="EE131" s="884"/>
      <c r="EF131" s="884"/>
      <c r="EG131" s="884"/>
      <c r="EH131" s="884"/>
      <c r="EI131" s="884"/>
      <c r="EJ131" s="884"/>
      <c r="EK131" s="884"/>
      <c r="EL131" s="884"/>
      <c r="EM131" s="884"/>
      <c r="EN131" s="884"/>
      <c r="EO131" s="884"/>
      <c r="EP131" s="884"/>
      <c r="EQ131" s="884"/>
      <c r="ER131" s="884"/>
      <c r="ES131" s="884"/>
      <c r="ET131" s="884"/>
      <c r="EU131" s="884"/>
      <c r="EV131" s="884"/>
      <c r="EW131" s="884"/>
      <c r="EX131" s="884"/>
      <c r="EY131" s="884"/>
      <c r="EZ131" s="884"/>
      <c r="FA131" s="884"/>
      <c r="FB131" s="884"/>
      <c r="FC131" s="884"/>
      <c r="FD131" s="884"/>
      <c r="FE131" s="884"/>
      <c r="FF131" s="884"/>
      <c r="FG131" s="884"/>
      <c r="FH131" s="884"/>
      <c r="FI131" s="884"/>
      <c r="FJ131" s="884"/>
      <c r="FK131" s="884"/>
      <c r="FL131" s="884"/>
      <c r="FM131" s="884"/>
      <c r="FN131" s="884"/>
      <c r="FO131" s="884"/>
      <c r="FP131" s="884"/>
      <c r="FQ131" s="884"/>
      <c r="FR131" s="884"/>
      <c r="FS131" s="884"/>
      <c r="FT131" s="884"/>
      <c r="FU131" s="884"/>
      <c r="FV131" s="884"/>
      <c r="FW131" s="884"/>
      <c r="FX131" s="884"/>
      <c r="FY131" s="884"/>
      <c r="FZ131" s="884"/>
      <c r="GA131" s="884"/>
      <c r="GB131" s="884"/>
      <c r="GC131" s="884"/>
      <c r="GD131" s="884"/>
      <c r="GE131" s="884"/>
      <c r="GF131" s="884"/>
      <c r="GG131" s="884"/>
      <c r="GH131" s="884"/>
      <c r="GI131" s="884"/>
      <c r="GJ131" s="884"/>
      <c r="GK131" s="884"/>
      <c r="GL131" s="884"/>
      <c r="GM131" s="884"/>
      <c r="GN131" s="884"/>
      <c r="GO131" s="884"/>
      <c r="GP131" s="884"/>
      <c r="GQ131" s="884"/>
      <c r="GR131" s="884"/>
      <c r="GS131" s="884"/>
      <c r="GT131" s="884"/>
      <c r="GU131" s="884"/>
      <c r="GV131" s="884"/>
      <c r="GW131" s="884"/>
      <c r="GX131" s="884"/>
      <c r="GY131" s="884"/>
      <c r="GZ131" s="884"/>
      <c r="HA131" s="884"/>
      <c r="HB131" s="884"/>
      <c r="HC131" s="884"/>
      <c r="HD131" s="884"/>
      <c r="HE131" s="884"/>
      <c r="HF131" s="884"/>
      <c r="HG131" s="884"/>
      <c r="HH131" s="884"/>
      <c r="HI131" s="884"/>
      <c r="HJ131" s="884"/>
      <c r="HK131" s="884"/>
      <c r="HL131" s="884"/>
      <c r="HM131" s="884"/>
      <c r="HN131" s="884"/>
      <c r="HO131" s="884"/>
      <c r="HP131" s="884"/>
      <c r="HQ131" s="884"/>
      <c r="HR131" s="884"/>
      <c r="HS131" s="884"/>
      <c r="HT131" s="884"/>
      <c r="HU131" s="884"/>
      <c r="HV131" s="884"/>
      <c r="HW131" s="884"/>
      <c r="HX131" s="884"/>
      <c r="HY131" s="884"/>
      <c r="HZ131" s="884"/>
      <c r="IA131" s="884"/>
      <c r="IB131" s="884"/>
      <c r="IC131" s="884"/>
      <c r="ID131" s="884"/>
      <c r="IE131" s="884"/>
      <c r="IF131" s="884"/>
      <c r="IG131" s="884"/>
      <c r="IH131" s="884"/>
      <c r="II131" s="884"/>
      <c r="IJ131" s="884"/>
      <c r="IK131" s="884"/>
      <c r="IL131" s="884"/>
      <c r="IM131" s="884"/>
      <c r="IN131" s="884"/>
      <c r="IO131" s="884"/>
      <c r="IP131" s="884"/>
      <c r="IQ131" s="884"/>
      <c r="IR131" s="884"/>
      <c r="IS131" s="884"/>
      <c r="IT131" s="884"/>
      <c r="IU131" s="884"/>
      <c r="IV131" s="884"/>
      <c r="IW131" s="884"/>
      <c r="IX131" s="884"/>
      <c r="IY131" s="884"/>
      <c r="IZ131" s="884"/>
      <c r="JA131" s="884"/>
      <c r="JB131" s="884"/>
      <c r="JC131" s="884"/>
      <c r="JD131" s="884"/>
      <c r="JE131" s="884"/>
      <c r="JF131" s="884"/>
      <c r="JG131" s="884"/>
      <c r="JH131" s="884"/>
      <c r="JI131" s="884"/>
      <c r="JJ131" s="884"/>
      <c r="JK131" s="884"/>
      <c r="JL131" s="884"/>
      <c r="JM131" s="884"/>
      <c r="JN131" s="884"/>
      <c r="JO131" s="884"/>
      <c r="JP131" s="884"/>
      <c r="JQ131" s="884"/>
      <c r="JR131" s="884"/>
      <c r="JS131" s="884"/>
      <c r="JT131" s="884"/>
      <c r="JU131" s="884"/>
      <c r="JV131" s="884"/>
      <c r="JW131" s="884"/>
    </row>
    <row r="132" spans="1:283" s="883" customFormat="1" ht="53.25" customHeight="1" x14ac:dyDescent="0.2">
      <c r="A132" s="884"/>
      <c r="B132" s="884"/>
      <c r="C132" s="4177"/>
      <c r="D132" s="4178"/>
      <c r="E132" s="973"/>
      <c r="F132" s="971"/>
      <c r="G132" s="4098"/>
      <c r="H132" s="4183"/>
      <c r="I132" s="2771"/>
      <c r="J132" s="4185"/>
      <c r="K132" s="4199"/>
      <c r="L132" s="4187"/>
      <c r="M132" s="4067"/>
      <c r="N132" s="4192"/>
      <c r="O132" s="4191"/>
      <c r="P132" s="4067"/>
      <c r="Q132" s="4105"/>
      <c r="R132" s="4183"/>
      <c r="S132" s="912">
        <f>0+130869640</f>
        <v>130869640</v>
      </c>
      <c r="T132" s="1038">
        <v>84</v>
      </c>
      <c r="U132" s="2494" t="s">
        <v>977</v>
      </c>
      <c r="V132" s="4205"/>
      <c r="W132" s="4186"/>
      <c r="X132" s="4186"/>
      <c r="Y132" s="4186"/>
      <c r="Z132" s="4186"/>
      <c r="AA132" s="4186"/>
      <c r="AB132" s="4202"/>
      <c r="AC132" s="4186"/>
      <c r="AD132" s="4186"/>
      <c r="AE132" s="4202"/>
      <c r="AF132" s="4202"/>
      <c r="AG132" s="4202"/>
      <c r="AH132" s="4202"/>
      <c r="AI132" s="4202"/>
      <c r="AJ132" s="4202"/>
      <c r="AK132" s="4186"/>
      <c r="AL132" s="4107"/>
      <c r="AM132" s="4107"/>
      <c r="AN132" s="4106"/>
      <c r="AT132" s="884"/>
      <c r="AU132" s="884"/>
      <c r="AV132" s="884"/>
      <c r="AW132" s="884"/>
      <c r="AX132" s="884"/>
      <c r="AY132" s="884"/>
      <c r="AZ132" s="884"/>
      <c r="BA132" s="884"/>
      <c r="BB132" s="884"/>
      <c r="BC132" s="884"/>
      <c r="BD132" s="884"/>
      <c r="BE132" s="884"/>
      <c r="BF132" s="884"/>
      <c r="BG132" s="884"/>
      <c r="BH132" s="884"/>
      <c r="BI132" s="884"/>
      <c r="BJ132" s="884"/>
      <c r="BK132" s="884"/>
      <c r="BL132" s="884"/>
      <c r="BM132" s="884"/>
      <c r="BN132" s="884"/>
      <c r="BO132" s="884"/>
      <c r="BP132" s="884"/>
      <c r="BQ132" s="884"/>
      <c r="BR132" s="884"/>
      <c r="BS132" s="884"/>
      <c r="BT132" s="884"/>
      <c r="BU132" s="884"/>
      <c r="BV132" s="884"/>
      <c r="BW132" s="884"/>
      <c r="BX132" s="884"/>
      <c r="BY132" s="884"/>
      <c r="BZ132" s="884"/>
      <c r="CA132" s="884"/>
      <c r="CB132" s="884"/>
      <c r="CC132" s="884"/>
      <c r="CD132" s="884"/>
      <c r="CE132" s="884"/>
      <c r="CF132" s="884"/>
      <c r="CG132" s="884"/>
      <c r="CH132" s="884"/>
      <c r="CI132" s="884"/>
      <c r="CJ132" s="884"/>
      <c r="CK132" s="884"/>
      <c r="CL132" s="884"/>
      <c r="CM132" s="884"/>
      <c r="CN132" s="884"/>
      <c r="CO132" s="884"/>
      <c r="CP132" s="884"/>
      <c r="CQ132" s="884"/>
      <c r="CR132" s="884"/>
      <c r="CS132" s="884"/>
      <c r="CT132" s="884"/>
      <c r="CU132" s="884"/>
      <c r="CV132" s="884"/>
      <c r="CW132" s="884"/>
      <c r="CX132" s="884"/>
      <c r="CY132" s="884"/>
      <c r="CZ132" s="884"/>
      <c r="DA132" s="884"/>
      <c r="DB132" s="884"/>
      <c r="DC132" s="884"/>
      <c r="DD132" s="884"/>
      <c r="DE132" s="884"/>
      <c r="DF132" s="884"/>
      <c r="DG132" s="884"/>
      <c r="DH132" s="884"/>
      <c r="DI132" s="884"/>
      <c r="DJ132" s="884"/>
      <c r="DK132" s="884"/>
      <c r="DL132" s="884"/>
      <c r="DM132" s="884"/>
      <c r="DN132" s="884"/>
      <c r="DO132" s="884"/>
      <c r="DP132" s="884"/>
      <c r="DQ132" s="884"/>
      <c r="DR132" s="884"/>
      <c r="DS132" s="884"/>
      <c r="DT132" s="884"/>
      <c r="DU132" s="884"/>
      <c r="DV132" s="884"/>
      <c r="DW132" s="884"/>
      <c r="DX132" s="884"/>
      <c r="DY132" s="884"/>
      <c r="DZ132" s="884"/>
      <c r="EA132" s="884"/>
      <c r="EB132" s="884"/>
      <c r="EC132" s="884"/>
      <c r="ED132" s="884"/>
      <c r="EE132" s="884"/>
      <c r="EF132" s="884"/>
      <c r="EG132" s="884"/>
      <c r="EH132" s="884"/>
      <c r="EI132" s="884"/>
      <c r="EJ132" s="884"/>
      <c r="EK132" s="884"/>
      <c r="EL132" s="884"/>
      <c r="EM132" s="884"/>
      <c r="EN132" s="884"/>
      <c r="EO132" s="884"/>
      <c r="EP132" s="884"/>
      <c r="EQ132" s="884"/>
      <c r="ER132" s="884"/>
      <c r="ES132" s="884"/>
      <c r="ET132" s="884"/>
      <c r="EU132" s="884"/>
      <c r="EV132" s="884"/>
      <c r="EW132" s="884"/>
      <c r="EX132" s="884"/>
      <c r="EY132" s="884"/>
      <c r="EZ132" s="884"/>
      <c r="FA132" s="884"/>
      <c r="FB132" s="884"/>
      <c r="FC132" s="884"/>
      <c r="FD132" s="884"/>
      <c r="FE132" s="884"/>
      <c r="FF132" s="884"/>
      <c r="FG132" s="884"/>
      <c r="FH132" s="884"/>
      <c r="FI132" s="884"/>
      <c r="FJ132" s="884"/>
      <c r="FK132" s="884"/>
      <c r="FL132" s="884"/>
      <c r="FM132" s="884"/>
      <c r="FN132" s="884"/>
      <c r="FO132" s="884"/>
      <c r="FP132" s="884"/>
      <c r="FQ132" s="884"/>
      <c r="FR132" s="884"/>
      <c r="FS132" s="884"/>
      <c r="FT132" s="884"/>
      <c r="FU132" s="884"/>
      <c r="FV132" s="884"/>
      <c r="FW132" s="884"/>
      <c r="FX132" s="884"/>
      <c r="FY132" s="884"/>
      <c r="FZ132" s="884"/>
      <c r="GA132" s="884"/>
      <c r="GB132" s="884"/>
      <c r="GC132" s="884"/>
      <c r="GD132" s="884"/>
      <c r="GE132" s="884"/>
      <c r="GF132" s="884"/>
      <c r="GG132" s="884"/>
      <c r="GH132" s="884"/>
      <c r="GI132" s="884"/>
      <c r="GJ132" s="884"/>
      <c r="GK132" s="884"/>
      <c r="GL132" s="884"/>
      <c r="GM132" s="884"/>
      <c r="GN132" s="884"/>
      <c r="GO132" s="884"/>
      <c r="GP132" s="884"/>
      <c r="GQ132" s="884"/>
      <c r="GR132" s="884"/>
      <c r="GS132" s="884"/>
      <c r="GT132" s="884"/>
      <c r="GU132" s="884"/>
      <c r="GV132" s="884"/>
      <c r="GW132" s="884"/>
      <c r="GX132" s="884"/>
      <c r="GY132" s="884"/>
      <c r="GZ132" s="884"/>
      <c r="HA132" s="884"/>
      <c r="HB132" s="884"/>
      <c r="HC132" s="884"/>
      <c r="HD132" s="884"/>
      <c r="HE132" s="884"/>
      <c r="HF132" s="884"/>
      <c r="HG132" s="884"/>
      <c r="HH132" s="884"/>
      <c r="HI132" s="884"/>
      <c r="HJ132" s="884"/>
      <c r="HK132" s="884"/>
      <c r="HL132" s="884"/>
      <c r="HM132" s="884"/>
      <c r="HN132" s="884"/>
      <c r="HO132" s="884"/>
      <c r="HP132" s="884"/>
      <c r="HQ132" s="884"/>
      <c r="HR132" s="884"/>
      <c r="HS132" s="884"/>
      <c r="HT132" s="884"/>
      <c r="HU132" s="884"/>
      <c r="HV132" s="884"/>
      <c r="HW132" s="884"/>
      <c r="HX132" s="884"/>
      <c r="HY132" s="884"/>
      <c r="HZ132" s="884"/>
      <c r="IA132" s="884"/>
      <c r="IB132" s="884"/>
      <c r="IC132" s="884"/>
      <c r="ID132" s="884"/>
      <c r="IE132" s="884"/>
      <c r="IF132" s="884"/>
      <c r="IG132" s="884"/>
      <c r="IH132" s="884"/>
      <c r="II132" s="884"/>
      <c r="IJ132" s="884"/>
      <c r="IK132" s="884"/>
      <c r="IL132" s="884"/>
      <c r="IM132" s="884"/>
      <c r="IN132" s="884"/>
      <c r="IO132" s="884"/>
      <c r="IP132" s="884"/>
      <c r="IQ132" s="884"/>
      <c r="IR132" s="884"/>
      <c r="IS132" s="884"/>
      <c r="IT132" s="884"/>
      <c r="IU132" s="884"/>
      <c r="IV132" s="884"/>
      <c r="IW132" s="884"/>
      <c r="IX132" s="884"/>
      <c r="IY132" s="884"/>
      <c r="IZ132" s="884"/>
      <c r="JA132" s="884"/>
      <c r="JB132" s="884"/>
      <c r="JC132" s="884"/>
      <c r="JD132" s="884"/>
      <c r="JE132" s="884"/>
      <c r="JF132" s="884"/>
      <c r="JG132" s="884"/>
      <c r="JH132" s="884"/>
      <c r="JI132" s="884"/>
      <c r="JJ132" s="884"/>
      <c r="JK132" s="884"/>
      <c r="JL132" s="884"/>
      <c r="JM132" s="884"/>
      <c r="JN132" s="884"/>
      <c r="JO132" s="884"/>
      <c r="JP132" s="884"/>
      <c r="JQ132" s="884"/>
      <c r="JR132" s="884"/>
      <c r="JS132" s="884"/>
      <c r="JT132" s="884"/>
      <c r="JU132" s="884"/>
      <c r="JV132" s="884"/>
      <c r="JW132" s="884"/>
    </row>
    <row r="133" spans="1:283" s="883" customFormat="1" ht="22.5" customHeight="1" x14ac:dyDescent="0.2">
      <c r="A133" s="1039"/>
      <c r="B133" s="1040"/>
      <c r="C133" s="1040"/>
      <c r="D133" s="1040"/>
      <c r="E133" s="1040"/>
      <c r="F133" s="1041"/>
      <c r="G133" s="1040"/>
      <c r="H133" s="1042"/>
      <c r="I133" s="1042"/>
      <c r="J133" s="1040"/>
      <c r="K133" s="1040"/>
      <c r="L133" s="1040"/>
      <c r="M133" s="1042"/>
      <c r="N133" s="1040"/>
      <c r="O133" s="1043"/>
      <c r="P133" s="1042"/>
      <c r="Q133" s="1042"/>
      <c r="R133" s="1044"/>
      <c r="S133" s="1045">
        <f>SUM(S12:S132)</f>
        <v>6067165943</v>
      </c>
      <c r="T133" s="1046"/>
      <c r="U133" s="1047"/>
      <c r="V133" s="1040"/>
      <c r="W133" s="1040"/>
      <c r="X133" s="1040"/>
      <c r="Y133" s="1040"/>
      <c r="Z133" s="1040"/>
      <c r="AA133" s="1040"/>
      <c r="AB133" s="1040"/>
      <c r="AC133" s="1040"/>
      <c r="AD133" s="1040"/>
      <c r="AE133" s="1040"/>
      <c r="AF133" s="1040"/>
      <c r="AG133" s="1040"/>
      <c r="AH133" s="1040"/>
      <c r="AI133" s="1040"/>
      <c r="AJ133" s="1040"/>
      <c r="AK133" s="1040"/>
      <c r="AL133" s="1040"/>
      <c r="AM133" s="1040"/>
      <c r="AN133" s="1048"/>
      <c r="AT133" s="884"/>
      <c r="AU133" s="884"/>
      <c r="AV133" s="884"/>
      <c r="AW133" s="884"/>
      <c r="AX133" s="884"/>
      <c r="AY133" s="884"/>
      <c r="AZ133" s="884"/>
      <c r="BA133" s="884"/>
      <c r="BB133" s="884"/>
      <c r="BC133" s="884"/>
      <c r="BD133" s="884"/>
      <c r="BE133" s="884"/>
      <c r="BF133" s="884"/>
      <c r="BG133" s="884"/>
      <c r="BH133" s="884"/>
      <c r="BI133" s="884"/>
      <c r="BJ133" s="884"/>
      <c r="BK133" s="884"/>
      <c r="BL133" s="884"/>
      <c r="BM133" s="884"/>
      <c r="BN133" s="884"/>
      <c r="BO133" s="884"/>
      <c r="BP133" s="884"/>
      <c r="BQ133" s="884"/>
      <c r="BR133" s="884"/>
      <c r="BS133" s="884"/>
      <c r="BT133" s="884"/>
      <c r="BU133" s="884"/>
      <c r="BV133" s="884"/>
      <c r="BW133" s="884"/>
      <c r="BX133" s="884"/>
      <c r="BY133" s="884"/>
      <c r="BZ133" s="884"/>
      <c r="CA133" s="884"/>
      <c r="CB133" s="884"/>
      <c r="CC133" s="884"/>
      <c r="CD133" s="884"/>
      <c r="CE133" s="884"/>
      <c r="CF133" s="884"/>
      <c r="CG133" s="884"/>
      <c r="CH133" s="884"/>
      <c r="CI133" s="884"/>
      <c r="CJ133" s="884"/>
      <c r="CK133" s="884"/>
      <c r="CL133" s="884"/>
      <c r="CM133" s="884"/>
      <c r="CN133" s="884"/>
      <c r="CO133" s="884"/>
      <c r="CP133" s="884"/>
      <c r="CQ133" s="884"/>
      <c r="CR133" s="884"/>
      <c r="CS133" s="884"/>
      <c r="CT133" s="884"/>
      <c r="CU133" s="884"/>
      <c r="CV133" s="884"/>
      <c r="CW133" s="884"/>
      <c r="CX133" s="884"/>
      <c r="CY133" s="884"/>
      <c r="CZ133" s="884"/>
      <c r="DA133" s="884"/>
      <c r="DB133" s="884"/>
      <c r="DC133" s="884"/>
      <c r="DD133" s="884"/>
      <c r="DE133" s="884"/>
      <c r="DF133" s="884"/>
      <c r="DG133" s="884"/>
      <c r="DH133" s="884"/>
      <c r="DI133" s="884"/>
      <c r="DJ133" s="884"/>
      <c r="DK133" s="884"/>
      <c r="DL133" s="884"/>
      <c r="DM133" s="884"/>
      <c r="DN133" s="884"/>
      <c r="DO133" s="884"/>
      <c r="DP133" s="884"/>
      <c r="DQ133" s="884"/>
      <c r="DR133" s="884"/>
      <c r="DS133" s="884"/>
      <c r="DT133" s="884"/>
      <c r="DU133" s="884"/>
      <c r="DV133" s="884"/>
      <c r="DW133" s="884"/>
      <c r="DX133" s="884"/>
      <c r="DY133" s="884"/>
      <c r="DZ133" s="884"/>
      <c r="EA133" s="884"/>
      <c r="EB133" s="884"/>
      <c r="EC133" s="884"/>
      <c r="ED133" s="884"/>
      <c r="EE133" s="884"/>
      <c r="EF133" s="884"/>
      <c r="EG133" s="884"/>
      <c r="EH133" s="884"/>
      <c r="EI133" s="884"/>
      <c r="EJ133" s="884"/>
      <c r="EK133" s="884"/>
      <c r="EL133" s="884"/>
      <c r="EM133" s="884"/>
      <c r="EN133" s="884"/>
      <c r="EO133" s="884"/>
      <c r="EP133" s="884"/>
      <c r="EQ133" s="884"/>
      <c r="ER133" s="884"/>
      <c r="ES133" s="884"/>
      <c r="ET133" s="884"/>
      <c r="EU133" s="884"/>
      <c r="EV133" s="884"/>
      <c r="EW133" s="884"/>
      <c r="EX133" s="884"/>
      <c r="EY133" s="884"/>
      <c r="EZ133" s="884"/>
      <c r="FA133" s="884"/>
      <c r="FB133" s="884"/>
      <c r="FC133" s="884"/>
      <c r="FD133" s="884"/>
      <c r="FE133" s="884"/>
      <c r="FF133" s="884"/>
      <c r="FG133" s="884"/>
      <c r="FH133" s="884"/>
      <c r="FI133" s="884"/>
      <c r="FJ133" s="884"/>
      <c r="FK133" s="884"/>
      <c r="FL133" s="884"/>
      <c r="FM133" s="884"/>
      <c r="FN133" s="884"/>
      <c r="FO133" s="884"/>
      <c r="FP133" s="884"/>
      <c r="FQ133" s="884"/>
      <c r="FR133" s="884"/>
      <c r="FS133" s="884"/>
      <c r="FT133" s="884"/>
      <c r="FU133" s="884"/>
      <c r="FV133" s="884"/>
      <c r="FW133" s="884"/>
      <c r="FX133" s="884"/>
      <c r="FY133" s="884"/>
      <c r="FZ133" s="884"/>
      <c r="GA133" s="884"/>
      <c r="GB133" s="884"/>
      <c r="GC133" s="884"/>
      <c r="GD133" s="884"/>
      <c r="GE133" s="884"/>
      <c r="GF133" s="884"/>
      <c r="GG133" s="884"/>
      <c r="GH133" s="884"/>
      <c r="GI133" s="884"/>
      <c r="GJ133" s="884"/>
      <c r="GK133" s="884"/>
      <c r="GL133" s="884"/>
      <c r="GM133" s="884"/>
      <c r="GN133" s="884"/>
      <c r="GO133" s="884"/>
      <c r="GP133" s="884"/>
      <c r="GQ133" s="884"/>
      <c r="GR133" s="884"/>
      <c r="GS133" s="884"/>
      <c r="GT133" s="884"/>
      <c r="GU133" s="884"/>
      <c r="GV133" s="884"/>
      <c r="GW133" s="884"/>
      <c r="GX133" s="884"/>
      <c r="GY133" s="884"/>
      <c r="GZ133" s="884"/>
      <c r="HA133" s="884"/>
      <c r="HB133" s="884"/>
      <c r="HC133" s="884"/>
      <c r="HD133" s="884"/>
      <c r="HE133" s="884"/>
      <c r="HF133" s="884"/>
      <c r="HG133" s="884"/>
      <c r="HH133" s="884"/>
      <c r="HI133" s="884"/>
      <c r="HJ133" s="884"/>
      <c r="HK133" s="884"/>
      <c r="HL133" s="884"/>
      <c r="HM133" s="884"/>
      <c r="HN133" s="884"/>
      <c r="HO133" s="884"/>
      <c r="HP133" s="884"/>
      <c r="HQ133" s="884"/>
      <c r="HR133" s="884"/>
      <c r="HS133" s="884"/>
      <c r="HT133" s="884"/>
      <c r="HU133" s="884"/>
      <c r="HV133" s="884"/>
      <c r="HW133" s="884"/>
      <c r="HX133" s="884"/>
      <c r="HY133" s="884"/>
      <c r="HZ133" s="884"/>
      <c r="IA133" s="884"/>
      <c r="IB133" s="884"/>
      <c r="IC133" s="884"/>
      <c r="ID133" s="884"/>
      <c r="IE133" s="884"/>
      <c r="IF133" s="884"/>
      <c r="IG133" s="884"/>
      <c r="IH133" s="884"/>
      <c r="II133" s="884"/>
      <c r="IJ133" s="884"/>
      <c r="IK133" s="884"/>
      <c r="IL133" s="884"/>
      <c r="IM133" s="884"/>
      <c r="IN133" s="884"/>
      <c r="IO133" s="884"/>
      <c r="IP133" s="884"/>
      <c r="IQ133" s="884"/>
      <c r="IR133" s="884"/>
      <c r="IS133" s="884"/>
      <c r="IT133" s="884"/>
      <c r="IU133" s="884"/>
      <c r="IV133" s="884"/>
      <c r="IW133" s="884"/>
      <c r="IX133" s="884"/>
      <c r="IY133" s="884"/>
      <c r="IZ133" s="884"/>
      <c r="JA133" s="884"/>
      <c r="JB133" s="884"/>
      <c r="JC133" s="884"/>
      <c r="JD133" s="884"/>
      <c r="JE133" s="884"/>
      <c r="JF133" s="884"/>
      <c r="JG133" s="884"/>
      <c r="JH133" s="884"/>
      <c r="JI133" s="884"/>
      <c r="JJ133" s="884"/>
      <c r="JK133" s="884"/>
      <c r="JL133" s="884"/>
      <c r="JM133" s="884"/>
      <c r="JN133" s="884"/>
      <c r="JO133" s="884"/>
      <c r="JP133" s="884"/>
      <c r="JQ133" s="884"/>
      <c r="JR133" s="884"/>
      <c r="JS133" s="884"/>
      <c r="JT133" s="884"/>
      <c r="JU133" s="884"/>
      <c r="JV133" s="884"/>
      <c r="JW133" s="884"/>
    </row>
    <row r="138" spans="1:283" s="883" customFormat="1" x14ac:dyDescent="0.2">
      <c r="A138" s="884"/>
      <c r="B138" s="884"/>
      <c r="C138" s="884"/>
      <c r="D138" s="884"/>
      <c r="E138" s="884"/>
      <c r="F138" s="1049"/>
      <c r="G138" s="884"/>
      <c r="H138" s="2486"/>
      <c r="I138" s="2486"/>
      <c r="J138" s="884"/>
      <c r="K138" s="884"/>
      <c r="L138" s="884"/>
      <c r="M138" s="2486"/>
      <c r="N138" s="884"/>
      <c r="O138" s="1051"/>
      <c r="P138" s="2486"/>
      <c r="Q138" s="2486"/>
      <c r="S138" s="1052"/>
      <c r="T138" s="2486"/>
      <c r="U138" s="1053"/>
      <c r="V138" s="884"/>
      <c r="W138" s="884"/>
      <c r="X138" s="884"/>
      <c r="Y138" s="884"/>
      <c r="Z138" s="884"/>
      <c r="AA138" s="884"/>
      <c r="AB138" s="884"/>
      <c r="AC138" s="884"/>
      <c r="AD138" s="884"/>
      <c r="AE138" s="884"/>
      <c r="AF138" s="884"/>
      <c r="AG138" s="884"/>
      <c r="AH138" s="884"/>
      <c r="AI138" s="884"/>
      <c r="AJ138" s="884"/>
      <c r="AK138" s="884"/>
      <c r="AL138" s="884"/>
      <c r="AM138" s="884"/>
      <c r="AN138" s="2486"/>
      <c r="AT138" s="884"/>
      <c r="AU138" s="884"/>
      <c r="AV138" s="884"/>
      <c r="AW138" s="884"/>
      <c r="AX138" s="884"/>
      <c r="AY138" s="884"/>
      <c r="AZ138" s="884"/>
      <c r="BA138" s="884"/>
      <c r="BB138" s="884"/>
      <c r="BC138" s="884"/>
      <c r="BD138" s="884"/>
      <c r="BE138" s="884"/>
      <c r="BF138" s="884"/>
      <c r="BG138" s="884"/>
      <c r="BH138" s="884"/>
      <c r="BI138" s="884"/>
      <c r="BJ138" s="884"/>
      <c r="BK138" s="884"/>
      <c r="BL138" s="884"/>
      <c r="BM138" s="884"/>
      <c r="BN138" s="884"/>
      <c r="BO138" s="884"/>
      <c r="BP138" s="884"/>
      <c r="BQ138" s="884"/>
      <c r="BR138" s="884"/>
      <c r="BS138" s="884"/>
      <c r="BT138" s="884"/>
      <c r="BU138" s="884"/>
      <c r="BV138" s="884"/>
      <c r="BW138" s="884"/>
      <c r="BX138" s="884"/>
      <c r="BY138" s="884"/>
      <c r="BZ138" s="884"/>
      <c r="CA138" s="884"/>
      <c r="CB138" s="884"/>
      <c r="CC138" s="884"/>
      <c r="CD138" s="884"/>
      <c r="CE138" s="884"/>
      <c r="CF138" s="884"/>
      <c r="CG138" s="884"/>
      <c r="CH138" s="884"/>
      <c r="CI138" s="884"/>
      <c r="CJ138" s="884"/>
      <c r="CK138" s="884"/>
      <c r="CL138" s="884"/>
      <c r="CM138" s="884"/>
      <c r="CN138" s="884"/>
      <c r="CO138" s="884"/>
      <c r="CP138" s="884"/>
      <c r="CQ138" s="884"/>
      <c r="CR138" s="884"/>
      <c r="CS138" s="884"/>
      <c r="CT138" s="884"/>
      <c r="CU138" s="884"/>
      <c r="CV138" s="884"/>
      <c r="CW138" s="884"/>
      <c r="CX138" s="884"/>
      <c r="CY138" s="884"/>
      <c r="CZ138" s="884"/>
      <c r="DA138" s="884"/>
      <c r="DB138" s="884"/>
      <c r="DC138" s="884"/>
      <c r="DD138" s="884"/>
      <c r="DE138" s="884"/>
      <c r="DF138" s="884"/>
      <c r="DG138" s="884"/>
      <c r="DH138" s="884"/>
      <c r="DI138" s="884"/>
      <c r="DJ138" s="884"/>
      <c r="DK138" s="884"/>
      <c r="DL138" s="884"/>
      <c r="DM138" s="884"/>
      <c r="DN138" s="884"/>
      <c r="DO138" s="884"/>
      <c r="DP138" s="884"/>
      <c r="DQ138" s="884"/>
      <c r="DR138" s="884"/>
      <c r="DS138" s="884"/>
      <c r="DT138" s="884"/>
      <c r="DU138" s="884"/>
      <c r="DV138" s="884"/>
      <c r="DW138" s="884"/>
      <c r="DX138" s="884"/>
      <c r="DY138" s="884"/>
      <c r="DZ138" s="884"/>
      <c r="EA138" s="884"/>
      <c r="EB138" s="884"/>
      <c r="EC138" s="884"/>
      <c r="ED138" s="884"/>
      <c r="EE138" s="884"/>
      <c r="EF138" s="884"/>
      <c r="EG138" s="884"/>
      <c r="EH138" s="884"/>
      <c r="EI138" s="884"/>
      <c r="EJ138" s="884"/>
      <c r="EK138" s="884"/>
      <c r="EL138" s="884"/>
      <c r="EM138" s="884"/>
      <c r="EN138" s="884"/>
      <c r="EO138" s="884"/>
      <c r="EP138" s="884"/>
      <c r="EQ138" s="884"/>
      <c r="ER138" s="884"/>
      <c r="ES138" s="884"/>
      <c r="ET138" s="884"/>
      <c r="EU138" s="884"/>
      <c r="EV138" s="884"/>
      <c r="EW138" s="884"/>
      <c r="EX138" s="884"/>
      <c r="EY138" s="884"/>
      <c r="EZ138" s="884"/>
      <c r="FA138" s="884"/>
      <c r="FB138" s="884"/>
      <c r="FC138" s="884"/>
      <c r="FD138" s="884"/>
      <c r="FE138" s="884"/>
      <c r="FF138" s="884"/>
      <c r="FG138" s="884"/>
      <c r="FH138" s="884"/>
      <c r="FI138" s="884"/>
      <c r="FJ138" s="884"/>
      <c r="FK138" s="884"/>
      <c r="FL138" s="884"/>
      <c r="FM138" s="884"/>
      <c r="FN138" s="884"/>
      <c r="FO138" s="884"/>
      <c r="FP138" s="884"/>
      <c r="FQ138" s="884"/>
      <c r="FR138" s="884"/>
      <c r="FS138" s="884"/>
      <c r="FT138" s="884"/>
      <c r="FU138" s="884"/>
      <c r="FV138" s="884"/>
      <c r="FW138" s="884"/>
      <c r="FX138" s="884"/>
      <c r="FY138" s="884"/>
      <c r="FZ138" s="884"/>
      <c r="GA138" s="884"/>
      <c r="GB138" s="884"/>
      <c r="GC138" s="884"/>
      <c r="GD138" s="884"/>
      <c r="GE138" s="884"/>
      <c r="GF138" s="884"/>
      <c r="GG138" s="884"/>
      <c r="GH138" s="884"/>
      <c r="GI138" s="884"/>
      <c r="GJ138" s="884"/>
      <c r="GK138" s="884"/>
      <c r="GL138" s="884"/>
      <c r="GM138" s="884"/>
      <c r="GN138" s="884"/>
      <c r="GO138" s="884"/>
      <c r="GP138" s="884"/>
      <c r="GQ138" s="884"/>
      <c r="GR138" s="884"/>
      <c r="GS138" s="884"/>
      <c r="GT138" s="884"/>
      <c r="GU138" s="884"/>
      <c r="GV138" s="884"/>
      <c r="GW138" s="884"/>
      <c r="GX138" s="884"/>
      <c r="GY138" s="884"/>
      <c r="GZ138" s="884"/>
      <c r="HA138" s="884"/>
      <c r="HB138" s="884"/>
      <c r="HC138" s="884"/>
      <c r="HD138" s="884"/>
      <c r="HE138" s="884"/>
      <c r="HF138" s="884"/>
      <c r="HG138" s="884"/>
      <c r="HH138" s="884"/>
      <c r="HI138" s="884"/>
      <c r="HJ138" s="884"/>
      <c r="HK138" s="884"/>
      <c r="HL138" s="884"/>
      <c r="HM138" s="884"/>
      <c r="HN138" s="884"/>
      <c r="HO138" s="884"/>
      <c r="HP138" s="884"/>
      <c r="HQ138" s="884"/>
      <c r="HR138" s="884"/>
      <c r="HS138" s="884"/>
      <c r="HT138" s="884"/>
      <c r="HU138" s="884"/>
      <c r="HV138" s="884"/>
      <c r="HW138" s="884"/>
      <c r="HX138" s="884"/>
      <c r="HY138" s="884"/>
      <c r="HZ138" s="884"/>
      <c r="IA138" s="884"/>
      <c r="IB138" s="884"/>
      <c r="IC138" s="884"/>
      <c r="ID138" s="884"/>
      <c r="IE138" s="884"/>
      <c r="IF138" s="884"/>
      <c r="IG138" s="884"/>
      <c r="IH138" s="884"/>
      <c r="II138" s="884"/>
      <c r="IJ138" s="884"/>
      <c r="IK138" s="884"/>
      <c r="IL138" s="884"/>
      <c r="IM138" s="884"/>
      <c r="IN138" s="884"/>
      <c r="IO138" s="884"/>
      <c r="IP138" s="884"/>
      <c r="IQ138" s="884"/>
      <c r="IR138" s="884"/>
      <c r="IS138" s="884"/>
      <c r="IT138" s="884"/>
      <c r="IU138" s="884"/>
      <c r="IV138" s="884"/>
      <c r="IW138" s="884"/>
      <c r="IX138" s="884"/>
      <c r="IY138" s="884"/>
      <c r="IZ138" s="884"/>
      <c r="JA138" s="884"/>
      <c r="JB138" s="884"/>
      <c r="JC138" s="884"/>
      <c r="JD138" s="884"/>
      <c r="JE138" s="884"/>
      <c r="JF138" s="884"/>
      <c r="JG138" s="884"/>
      <c r="JH138" s="884"/>
      <c r="JI138" s="884"/>
      <c r="JJ138" s="884"/>
      <c r="JK138" s="884"/>
      <c r="JL138" s="884"/>
      <c r="JM138" s="884"/>
      <c r="JN138" s="884"/>
      <c r="JO138" s="884"/>
      <c r="JP138" s="884"/>
      <c r="JQ138" s="884"/>
      <c r="JR138" s="884"/>
      <c r="JS138" s="884"/>
      <c r="JT138" s="884"/>
      <c r="JU138" s="884"/>
      <c r="JV138" s="884"/>
      <c r="JW138" s="884"/>
    </row>
  </sheetData>
  <sheetProtection password="F3F4" sheet="1" objects="1" scenarios="1"/>
  <mergeCells count="482">
    <mergeCell ref="H131:H132"/>
    <mergeCell ref="I131:I132"/>
    <mergeCell ref="J131:J132"/>
    <mergeCell ref="N131:N132"/>
    <mergeCell ref="R131:R132"/>
    <mergeCell ref="AN121:AN132"/>
    <mergeCell ref="G129:G130"/>
    <mergeCell ref="H129:H130"/>
    <mergeCell ref="I129:I130"/>
    <mergeCell ref="J129:J130"/>
    <mergeCell ref="K129:K132"/>
    <mergeCell ref="N129:N130"/>
    <mergeCell ref="Q129:Q132"/>
    <mergeCell ref="R129:R130"/>
    <mergeCell ref="G131:G132"/>
    <mergeCell ref="AH121:AH132"/>
    <mergeCell ref="AI121:AI132"/>
    <mergeCell ref="AJ121:AJ132"/>
    <mergeCell ref="AK121:AK132"/>
    <mergeCell ref="AL121:AL132"/>
    <mergeCell ref="AM121:AM132"/>
    <mergeCell ref="AB121:AB132"/>
    <mergeCell ref="AC121:AC132"/>
    <mergeCell ref="AD121:AD132"/>
    <mergeCell ref="AE121:AE132"/>
    <mergeCell ref="AF121:AF132"/>
    <mergeCell ref="AG121:AG132"/>
    <mergeCell ref="V121:V132"/>
    <mergeCell ref="W121:W132"/>
    <mergeCell ref="X121:X132"/>
    <mergeCell ref="Y121:Y132"/>
    <mergeCell ref="Z121:Z132"/>
    <mergeCell ref="AA121:AA132"/>
    <mergeCell ref="L121:L132"/>
    <mergeCell ref="M121:M132"/>
    <mergeCell ref="N121:N127"/>
    <mergeCell ref="O121:O132"/>
    <mergeCell ref="P121:P132"/>
    <mergeCell ref="Q121:Q128"/>
    <mergeCell ref="AL112:AL118"/>
    <mergeCell ref="AM112:AM118"/>
    <mergeCell ref="AN112:AN118"/>
    <mergeCell ref="Q114:Q118"/>
    <mergeCell ref="C120:D132"/>
    <mergeCell ref="G121:G127"/>
    <mergeCell ref="H121:H127"/>
    <mergeCell ref="I121:I127"/>
    <mergeCell ref="J121:J127"/>
    <mergeCell ref="K121:K127"/>
    <mergeCell ref="AF112:AF118"/>
    <mergeCell ref="AG112:AG118"/>
    <mergeCell ref="AH112:AH118"/>
    <mergeCell ref="AI112:AI118"/>
    <mergeCell ref="AJ112:AJ118"/>
    <mergeCell ref="AK112:AK118"/>
    <mergeCell ref="Z112:Z118"/>
    <mergeCell ref="AA112:AA118"/>
    <mergeCell ref="AB112:AB118"/>
    <mergeCell ref="AC112:AC118"/>
    <mergeCell ref="AD112:AD118"/>
    <mergeCell ref="AE112:AE118"/>
    <mergeCell ref="P112:P118"/>
    <mergeCell ref="Q112:Q113"/>
    <mergeCell ref="V112:V118"/>
    <mergeCell ref="W112:W118"/>
    <mergeCell ref="X112:X118"/>
    <mergeCell ref="Y112:Y118"/>
    <mergeCell ref="J112:J118"/>
    <mergeCell ref="K112:K118"/>
    <mergeCell ref="L112:L118"/>
    <mergeCell ref="M112:M118"/>
    <mergeCell ref="N112:N118"/>
    <mergeCell ref="O112:O118"/>
    <mergeCell ref="A111:A118"/>
    <mergeCell ref="D111:D118"/>
    <mergeCell ref="E112:F118"/>
    <mergeCell ref="G112:G118"/>
    <mergeCell ref="H112:H118"/>
    <mergeCell ref="I112:I118"/>
    <mergeCell ref="AI106:AI109"/>
    <mergeCell ref="AJ106:AJ109"/>
    <mergeCell ref="AK106:AK109"/>
    <mergeCell ref="AL106:AL107"/>
    <mergeCell ref="AM106:AM107"/>
    <mergeCell ref="AN106:AN109"/>
    <mergeCell ref="AL108:AL109"/>
    <mergeCell ref="AM108:AM109"/>
    <mergeCell ref="AC106:AC109"/>
    <mergeCell ref="AD106:AD109"/>
    <mergeCell ref="AE106:AE109"/>
    <mergeCell ref="AF106:AF109"/>
    <mergeCell ref="AG106:AG109"/>
    <mergeCell ref="AH106:AH109"/>
    <mergeCell ref="W106:W109"/>
    <mergeCell ref="X106:X109"/>
    <mergeCell ref="Y106:Y109"/>
    <mergeCell ref="Z106:Z109"/>
    <mergeCell ref="AA106:AA109"/>
    <mergeCell ref="AB106:AB109"/>
    <mergeCell ref="M106:M109"/>
    <mergeCell ref="N106:N109"/>
    <mergeCell ref="O106:O109"/>
    <mergeCell ref="P106:P109"/>
    <mergeCell ref="Q106:Q109"/>
    <mergeCell ref="V106:V109"/>
    <mergeCell ref="AN101:AN103"/>
    <mergeCell ref="A105:A109"/>
    <mergeCell ref="D105:D109"/>
    <mergeCell ref="E106:F109"/>
    <mergeCell ref="G106:G109"/>
    <mergeCell ref="H106:H109"/>
    <mergeCell ref="I106:I109"/>
    <mergeCell ref="J106:J109"/>
    <mergeCell ref="K106:K109"/>
    <mergeCell ref="L106:L109"/>
    <mergeCell ref="AH101:AH103"/>
    <mergeCell ref="AI101:AI103"/>
    <mergeCell ref="AJ101:AJ103"/>
    <mergeCell ref="AK101:AK103"/>
    <mergeCell ref="AL101:AL103"/>
    <mergeCell ref="AM101:AM103"/>
    <mergeCell ref="AB101:AB103"/>
    <mergeCell ref="AC101:AC103"/>
    <mergeCell ref="AD101:AD103"/>
    <mergeCell ref="AE101:AE103"/>
    <mergeCell ref="AF101:AF103"/>
    <mergeCell ref="AG101:AG103"/>
    <mergeCell ref="V101:V103"/>
    <mergeCell ref="W101:W103"/>
    <mergeCell ref="X101:X103"/>
    <mergeCell ref="Y101:Y103"/>
    <mergeCell ref="Z101:Z103"/>
    <mergeCell ref="AA101:AA103"/>
    <mergeCell ref="L101:L103"/>
    <mergeCell ref="M101:M103"/>
    <mergeCell ref="N101:N103"/>
    <mergeCell ref="O101:O103"/>
    <mergeCell ref="P101:P103"/>
    <mergeCell ref="Q101:Q102"/>
    <mergeCell ref="AJ99:AJ100"/>
    <mergeCell ref="AK99:AK100"/>
    <mergeCell ref="AL99:AL100"/>
    <mergeCell ref="AM99:AM100"/>
    <mergeCell ref="AN99:AN100"/>
    <mergeCell ref="G101:G103"/>
    <mergeCell ref="H101:H103"/>
    <mergeCell ref="I101:I103"/>
    <mergeCell ref="J101:J103"/>
    <mergeCell ref="K101:K103"/>
    <mergeCell ref="AD99:AD100"/>
    <mergeCell ref="AE99:AE100"/>
    <mergeCell ref="AF99:AF100"/>
    <mergeCell ref="AG99:AG100"/>
    <mergeCell ref="AH99:AH100"/>
    <mergeCell ref="AI99:AI100"/>
    <mergeCell ref="X99:X100"/>
    <mergeCell ref="Y99:Y100"/>
    <mergeCell ref="Z99:Z100"/>
    <mergeCell ref="AA99:AA100"/>
    <mergeCell ref="AB99:AB100"/>
    <mergeCell ref="AC99:AC100"/>
    <mergeCell ref="M99:M100"/>
    <mergeCell ref="N99:N100"/>
    <mergeCell ref="O99:O100"/>
    <mergeCell ref="P99:P100"/>
    <mergeCell ref="V99:V100"/>
    <mergeCell ref="W99:W100"/>
    <mergeCell ref="AK96:AK98"/>
    <mergeCell ref="AL96:AL98"/>
    <mergeCell ref="AM96:AM98"/>
    <mergeCell ref="AN96:AN98"/>
    <mergeCell ref="G99:G100"/>
    <mergeCell ref="H99:H100"/>
    <mergeCell ref="I99:I100"/>
    <mergeCell ref="J99:J100"/>
    <mergeCell ref="K99:K100"/>
    <mergeCell ref="L99:L100"/>
    <mergeCell ref="AE96:AE98"/>
    <mergeCell ref="AF96:AF98"/>
    <mergeCell ref="AG96:AG98"/>
    <mergeCell ref="AH96:AH98"/>
    <mergeCell ref="AI96:AI98"/>
    <mergeCell ref="AJ96:AJ98"/>
    <mergeCell ref="Y96:Y98"/>
    <mergeCell ref="Z96:Z98"/>
    <mergeCell ref="AA96:AA98"/>
    <mergeCell ref="AB96:AB98"/>
    <mergeCell ref="AC96:AC98"/>
    <mergeCell ref="AD96:AD98"/>
    <mergeCell ref="O96:O98"/>
    <mergeCell ref="P96:P98"/>
    <mergeCell ref="Q96:Q97"/>
    <mergeCell ref="V96:V98"/>
    <mergeCell ref="W96:W98"/>
    <mergeCell ref="X96:X98"/>
    <mergeCell ref="AM94:AM95"/>
    <mergeCell ref="AN94:AN95"/>
    <mergeCell ref="G96:G98"/>
    <mergeCell ref="H96:H98"/>
    <mergeCell ref="I96:I98"/>
    <mergeCell ref="J96:J98"/>
    <mergeCell ref="K96:K98"/>
    <mergeCell ref="L96:L98"/>
    <mergeCell ref="M96:M98"/>
    <mergeCell ref="N96:N98"/>
    <mergeCell ref="AG94:AG95"/>
    <mergeCell ref="AH94:AH95"/>
    <mergeCell ref="AI94:AI95"/>
    <mergeCell ref="AJ94:AJ95"/>
    <mergeCell ref="AK94:AK95"/>
    <mergeCell ref="AL94:AL95"/>
    <mergeCell ref="AA94:AA95"/>
    <mergeCell ref="AB94:AB95"/>
    <mergeCell ref="AC94:AC95"/>
    <mergeCell ref="AD94:AD95"/>
    <mergeCell ref="AE94:AE95"/>
    <mergeCell ref="AF94:AF95"/>
    <mergeCell ref="Q94:Q95"/>
    <mergeCell ref="V94:V95"/>
    <mergeCell ref="W94:W95"/>
    <mergeCell ref="X94:X95"/>
    <mergeCell ref="Y94:Y95"/>
    <mergeCell ref="Z94:Z95"/>
    <mergeCell ref="K94:K95"/>
    <mergeCell ref="L94:L95"/>
    <mergeCell ref="M94:M95"/>
    <mergeCell ref="N94:N95"/>
    <mergeCell ref="O94:O95"/>
    <mergeCell ref="P94:P95"/>
    <mergeCell ref="A93:A103"/>
    <mergeCell ref="E94:F103"/>
    <mergeCell ref="G94:G95"/>
    <mergeCell ref="H94:H95"/>
    <mergeCell ref="I94:I95"/>
    <mergeCell ref="J94:J95"/>
    <mergeCell ref="AJ75:AJ91"/>
    <mergeCell ref="AK75:AK91"/>
    <mergeCell ref="AL75:AL91"/>
    <mergeCell ref="AM75:AM91"/>
    <mergeCell ref="AN75:AN91"/>
    <mergeCell ref="Q86:Q91"/>
    <mergeCell ref="AD75:AD91"/>
    <mergeCell ref="AE75:AE91"/>
    <mergeCell ref="AF75:AF91"/>
    <mergeCell ref="AG75:AG91"/>
    <mergeCell ref="AH75:AH91"/>
    <mergeCell ref="AI75:AI91"/>
    <mergeCell ref="X75:X91"/>
    <mergeCell ref="Y75:Y91"/>
    <mergeCell ref="Z75:Z91"/>
    <mergeCell ref="AA75:AA91"/>
    <mergeCell ref="AB75:AB91"/>
    <mergeCell ref="AC75:AC91"/>
    <mergeCell ref="N75:N91"/>
    <mergeCell ref="O75:O91"/>
    <mergeCell ref="P75:P91"/>
    <mergeCell ref="Q75:Q85"/>
    <mergeCell ref="V75:V91"/>
    <mergeCell ref="W75:W91"/>
    <mergeCell ref="AM58:AM73"/>
    <mergeCell ref="AN58:AN73"/>
    <mergeCell ref="Q61:Q73"/>
    <mergeCell ref="G75:G91"/>
    <mergeCell ref="H75:H91"/>
    <mergeCell ref="I75:I91"/>
    <mergeCell ref="J75:J91"/>
    <mergeCell ref="K75:K91"/>
    <mergeCell ref="L75:L91"/>
    <mergeCell ref="M75:M91"/>
    <mergeCell ref="AG58:AG73"/>
    <mergeCell ref="AH58:AH73"/>
    <mergeCell ref="AI58:AI73"/>
    <mergeCell ref="AJ58:AJ73"/>
    <mergeCell ref="AK58:AK73"/>
    <mergeCell ref="AL58:AL73"/>
    <mergeCell ref="AA58:AA73"/>
    <mergeCell ref="AB58:AB73"/>
    <mergeCell ref="AC58:AC73"/>
    <mergeCell ref="AD58:AD73"/>
    <mergeCell ref="AE58:AE73"/>
    <mergeCell ref="AF58:AF73"/>
    <mergeCell ref="Q58:Q60"/>
    <mergeCell ref="V58:V73"/>
    <mergeCell ref="W58:W73"/>
    <mergeCell ref="X58:X73"/>
    <mergeCell ref="Y58:Y73"/>
    <mergeCell ref="Z58:Z73"/>
    <mergeCell ref="K58:K73"/>
    <mergeCell ref="L58:L73"/>
    <mergeCell ref="M58:M73"/>
    <mergeCell ref="N58:N73"/>
    <mergeCell ref="O58:O73"/>
    <mergeCell ref="P58:P73"/>
    <mergeCell ref="H53:H55"/>
    <mergeCell ref="I53:I55"/>
    <mergeCell ref="J53:J55"/>
    <mergeCell ref="N53:N55"/>
    <mergeCell ref="Q53:Q55"/>
    <mergeCell ref="C57:D91"/>
    <mergeCell ref="G58:G73"/>
    <mergeCell ref="H58:H73"/>
    <mergeCell ref="I58:I73"/>
    <mergeCell ref="J58:J73"/>
    <mergeCell ref="AK44:AK55"/>
    <mergeCell ref="AL44:AL55"/>
    <mergeCell ref="AM44:AM55"/>
    <mergeCell ref="AN44:AN55"/>
    <mergeCell ref="G50:G52"/>
    <mergeCell ref="H50:H52"/>
    <mergeCell ref="I50:I52"/>
    <mergeCell ref="J50:J52"/>
    <mergeCell ref="N50:N52"/>
    <mergeCell ref="Q50:Q52"/>
    <mergeCell ref="AE44:AE55"/>
    <mergeCell ref="AF44:AF55"/>
    <mergeCell ref="AG44:AG55"/>
    <mergeCell ref="AH44:AH55"/>
    <mergeCell ref="AI44:AI55"/>
    <mergeCell ref="AJ44:AJ55"/>
    <mergeCell ref="Y44:Y55"/>
    <mergeCell ref="Z44:Z55"/>
    <mergeCell ref="AA44:AA55"/>
    <mergeCell ref="AB44:AB55"/>
    <mergeCell ref="AC44:AC55"/>
    <mergeCell ref="AD44:AD55"/>
    <mergeCell ref="O44:O55"/>
    <mergeCell ref="P44:P55"/>
    <mergeCell ref="Q44:Q49"/>
    <mergeCell ref="V44:V55"/>
    <mergeCell ref="W44:W55"/>
    <mergeCell ref="X44:X55"/>
    <mergeCell ref="N40:N42"/>
    <mergeCell ref="Q40:Q42"/>
    <mergeCell ref="G44:G49"/>
    <mergeCell ref="H44:H49"/>
    <mergeCell ref="I44:I49"/>
    <mergeCell ref="J44:J49"/>
    <mergeCell ref="K44:K55"/>
    <mergeCell ref="L44:L55"/>
    <mergeCell ref="M44:M55"/>
    <mergeCell ref="N44:N49"/>
    <mergeCell ref="AL30:AL42"/>
    <mergeCell ref="AM30:AM42"/>
    <mergeCell ref="AN30:AN42"/>
    <mergeCell ref="G37:G39"/>
    <mergeCell ref="H37:H39"/>
    <mergeCell ref="I37:I39"/>
    <mergeCell ref="J37:J39"/>
    <mergeCell ref="N37:N39"/>
    <mergeCell ref="Q37:Q39"/>
    <mergeCell ref="G40:G42"/>
    <mergeCell ref="AF30:AF42"/>
    <mergeCell ref="AG30:AG42"/>
    <mergeCell ref="AH30:AH42"/>
    <mergeCell ref="AI30:AI42"/>
    <mergeCell ref="AJ30:AJ42"/>
    <mergeCell ref="AK30:AK42"/>
    <mergeCell ref="Z30:Z42"/>
    <mergeCell ref="AA30:AA42"/>
    <mergeCell ref="AB30:AB42"/>
    <mergeCell ref="AC30:AC42"/>
    <mergeCell ref="AD30:AD42"/>
    <mergeCell ref="AE30:AE42"/>
    <mergeCell ref="P30:P42"/>
    <mergeCell ref="Q30:Q36"/>
    <mergeCell ref="V30:V42"/>
    <mergeCell ref="W30:W42"/>
    <mergeCell ref="X30:X42"/>
    <mergeCell ref="Y30:Y42"/>
    <mergeCell ref="AN22:AN28"/>
    <mergeCell ref="Q27:Q28"/>
    <mergeCell ref="G30:G36"/>
    <mergeCell ref="H30:H36"/>
    <mergeCell ref="I30:I36"/>
    <mergeCell ref="J30:J36"/>
    <mergeCell ref="L30:L42"/>
    <mergeCell ref="M30:M42"/>
    <mergeCell ref="N30:N36"/>
    <mergeCell ref="O30:O42"/>
    <mergeCell ref="AH22:AH28"/>
    <mergeCell ref="AI22:AI28"/>
    <mergeCell ref="AJ22:AJ28"/>
    <mergeCell ref="AK22:AK28"/>
    <mergeCell ref="AL22:AL28"/>
    <mergeCell ref="AM22:AM28"/>
    <mergeCell ref="AB22:AB28"/>
    <mergeCell ref="AC22:AC28"/>
    <mergeCell ref="AD22:AD28"/>
    <mergeCell ref="AE22:AE28"/>
    <mergeCell ref="AF22:AF28"/>
    <mergeCell ref="AG22:AG28"/>
    <mergeCell ref="V22:V28"/>
    <mergeCell ref="W22:W28"/>
    <mergeCell ref="X22:X28"/>
    <mergeCell ref="Y22:Y28"/>
    <mergeCell ref="Z22:Z28"/>
    <mergeCell ref="AA22:AA28"/>
    <mergeCell ref="L22:L28"/>
    <mergeCell ref="M22:M28"/>
    <mergeCell ref="N22:N28"/>
    <mergeCell ref="O22:O28"/>
    <mergeCell ref="P22:P28"/>
    <mergeCell ref="Q22:Q26"/>
    <mergeCell ref="C21:D55"/>
    <mergeCell ref="G22:G28"/>
    <mergeCell ref="H22:H28"/>
    <mergeCell ref="I22:I28"/>
    <mergeCell ref="J22:J28"/>
    <mergeCell ref="K22:K28"/>
    <mergeCell ref="H40:H42"/>
    <mergeCell ref="I40:I42"/>
    <mergeCell ref="J40:J42"/>
    <mergeCell ref="G53:G55"/>
    <mergeCell ref="AN12:AN19"/>
    <mergeCell ref="G16:G19"/>
    <mergeCell ref="H16:H19"/>
    <mergeCell ref="I16:I19"/>
    <mergeCell ref="J16:J19"/>
    <mergeCell ref="N16:N19"/>
    <mergeCell ref="Q16:Q19"/>
    <mergeCell ref="AH12:AH19"/>
    <mergeCell ref="AI12:AI19"/>
    <mergeCell ref="AJ12:AJ19"/>
    <mergeCell ref="AK12:AK19"/>
    <mergeCell ref="AL12:AL19"/>
    <mergeCell ref="AM12:AM19"/>
    <mergeCell ref="AB12:AB19"/>
    <mergeCell ref="AC12:AC19"/>
    <mergeCell ref="AD12:AD19"/>
    <mergeCell ref="AE12:AE19"/>
    <mergeCell ref="AF12:AF19"/>
    <mergeCell ref="AG12:AG19"/>
    <mergeCell ref="V12:V19"/>
    <mergeCell ref="W12:W19"/>
    <mergeCell ref="X12:X19"/>
    <mergeCell ref="Y12:Y19"/>
    <mergeCell ref="Z12:Z19"/>
    <mergeCell ref="AA12:AA19"/>
    <mergeCell ref="L12:L19"/>
    <mergeCell ref="M12:M19"/>
    <mergeCell ref="N12:N15"/>
    <mergeCell ref="O12:O19"/>
    <mergeCell ref="P12:P19"/>
    <mergeCell ref="Q12:Q15"/>
    <mergeCell ref="AK7:AK8"/>
    <mergeCell ref="AL7:AL8"/>
    <mergeCell ref="AM7:AM8"/>
    <mergeCell ref="AN7:AN8"/>
    <mergeCell ref="E12:F19"/>
    <mergeCell ref="G12:G15"/>
    <mergeCell ref="H12:H15"/>
    <mergeCell ref="I12:I15"/>
    <mergeCell ref="J12:J15"/>
    <mergeCell ref="K12:K19"/>
    <mergeCell ref="T7:T8"/>
    <mergeCell ref="U7:U8"/>
    <mergeCell ref="V7:W7"/>
    <mergeCell ref="X7:AA7"/>
    <mergeCell ref="AB7:AG7"/>
    <mergeCell ref="AH7:AJ7"/>
    <mergeCell ref="N7:N8"/>
    <mergeCell ref="O7:O8"/>
    <mergeCell ref="P7:P8"/>
    <mergeCell ref="Q7:Q8"/>
    <mergeCell ref="R7:R8"/>
    <mergeCell ref="S7:S8"/>
    <mergeCell ref="H7:H8"/>
    <mergeCell ref="I7:I8"/>
    <mergeCell ref="J7:J8"/>
    <mergeCell ref="K7:K8"/>
    <mergeCell ref="L7:L8"/>
    <mergeCell ref="M7:M8"/>
    <mergeCell ref="A1:AL4"/>
    <mergeCell ref="A5:M6"/>
    <mergeCell ref="N5:AN5"/>
    <mergeCell ref="A7:A8"/>
    <mergeCell ref="B7:B8"/>
    <mergeCell ref="C7:C8"/>
    <mergeCell ref="D7:D8"/>
    <mergeCell ref="E7:E8"/>
    <mergeCell ref="F7:F8"/>
    <mergeCell ref="G7:G8"/>
  </mergeCell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8"/>
  <sheetViews>
    <sheetView showGridLines="0" zoomScale="60" zoomScaleNormal="60" workbookViewId="0">
      <pane ySplit="1" topLeftCell="A5" activePane="bottomLeft" state="frozen"/>
      <selection pane="bottomLeft" activeCell="J13" sqref="J13:J20"/>
    </sheetView>
  </sheetViews>
  <sheetFormatPr baseColWidth="10" defaultColWidth="11.42578125" defaultRowHeight="14.25" x14ac:dyDescent="0.2"/>
  <cols>
    <col min="1" max="1" width="14" style="545" customWidth="1"/>
    <col min="2" max="2" width="7.42578125" style="545" customWidth="1"/>
    <col min="3" max="3" width="14.85546875" style="545" customWidth="1"/>
    <col min="4" max="4" width="16.5703125" style="545" customWidth="1"/>
    <col min="5" max="5" width="6.140625" style="545" customWidth="1"/>
    <col min="6" max="6" width="11.85546875" style="545" customWidth="1"/>
    <col min="7" max="7" width="16.7109375" style="545" customWidth="1"/>
    <col min="8" max="8" width="5.42578125" style="545" customWidth="1"/>
    <col min="9" max="9" width="20" style="545" customWidth="1"/>
    <col min="10" max="10" width="18.5703125" style="545" customWidth="1"/>
    <col min="11" max="11" width="23" style="545" customWidth="1"/>
    <col min="12" max="12" width="20.5703125" style="545" customWidth="1"/>
    <col min="13" max="13" width="11.42578125" style="545" customWidth="1"/>
    <col min="14" max="14" width="10.85546875" style="545" customWidth="1"/>
    <col min="15" max="15" width="39.85546875" style="545" customWidth="1"/>
    <col min="16" max="16" width="21.7109375" style="545" customWidth="1"/>
    <col min="17" max="17" width="19.85546875" style="545" customWidth="1"/>
    <col min="18" max="18" width="14.28515625" style="545" customWidth="1"/>
    <col min="19" max="19" width="23.28515625" style="545" customWidth="1"/>
    <col min="20" max="20" width="19.140625" style="545" customWidth="1"/>
    <col min="21" max="21" width="26.5703125" style="545" customWidth="1"/>
    <col min="22" max="22" width="40" style="545" customWidth="1"/>
    <col min="23" max="23" width="23.85546875" style="545" customWidth="1"/>
    <col min="24" max="24" width="10.7109375" style="545" customWidth="1"/>
    <col min="25" max="25" width="19.42578125" style="545" customWidth="1"/>
    <col min="26" max="41" width="10.7109375" style="545" customWidth="1"/>
    <col min="42" max="42" width="18.42578125" style="545" customWidth="1"/>
    <col min="43" max="43" width="23.28515625" style="545" customWidth="1"/>
    <col min="44" max="44" width="24.42578125" style="545" customWidth="1"/>
    <col min="45" max="57" width="14.85546875" style="545" customWidth="1"/>
    <col min="58" max="16384" width="11.42578125" style="545"/>
  </cols>
  <sheetData>
    <row r="1" spans="1:44" ht="17.25" customHeight="1" x14ac:dyDescent="0.25">
      <c r="A1" s="3280" t="s">
        <v>1840</v>
      </c>
      <c r="B1" s="3742"/>
      <c r="C1" s="3742"/>
      <c r="D1" s="3742"/>
      <c r="E1" s="3742"/>
      <c r="F1" s="3742"/>
      <c r="G1" s="3742"/>
      <c r="H1" s="3742"/>
      <c r="I1" s="3742"/>
      <c r="J1" s="3742"/>
      <c r="K1" s="3742"/>
      <c r="L1" s="3742"/>
      <c r="M1" s="3742"/>
      <c r="N1" s="3742"/>
      <c r="O1" s="3742"/>
      <c r="P1" s="3742"/>
      <c r="Q1" s="3742"/>
      <c r="R1" s="3742"/>
      <c r="S1" s="3742"/>
      <c r="T1" s="3742"/>
      <c r="U1" s="3742"/>
      <c r="V1" s="3742"/>
      <c r="W1" s="3742"/>
      <c r="X1" s="3742"/>
      <c r="Y1" s="3742"/>
      <c r="Z1" s="3742"/>
      <c r="AA1" s="3742"/>
      <c r="AB1" s="3742"/>
      <c r="AC1" s="3742"/>
      <c r="AD1" s="3742"/>
      <c r="AE1" s="3742"/>
      <c r="AF1" s="3742"/>
      <c r="AG1" s="3742"/>
      <c r="AH1" s="3742"/>
      <c r="AI1" s="3742"/>
      <c r="AJ1" s="3742"/>
      <c r="AK1" s="3742"/>
      <c r="AL1" s="3742"/>
      <c r="AM1" s="3742"/>
      <c r="AN1" s="3742"/>
      <c r="AO1" s="3742"/>
      <c r="AP1" s="3742"/>
      <c r="AQ1" s="2096" t="s">
        <v>1</v>
      </c>
      <c r="AR1" s="2097" t="s">
        <v>2</v>
      </c>
    </row>
    <row r="2" spans="1:44" ht="15" customHeight="1" x14ac:dyDescent="0.25">
      <c r="A2" s="3280"/>
      <c r="B2" s="3742"/>
      <c r="C2" s="3742"/>
      <c r="D2" s="3742"/>
      <c r="E2" s="3742"/>
      <c r="F2" s="3742"/>
      <c r="G2" s="3742"/>
      <c r="H2" s="3742"/>
      <c r="I2" s="3742"/>
      <c r="J2" s="3742"/>
      <c r="K2" s="3742"/>
      <c r="L2" s="3742"/>
      <c r="M2" s="3742"/>
      <c r="N2" s="3742"/>
      <c r="O2" s="3742"/>
      <c r="P2" s="3742"/>
      <c r="Q2" s="3742"/>
      <c r="R2" s="3742"/>
      <c r="S2" s="3742"/>
      <c r="T2" s="3742"/>
      <c r="U2" s="3742"/>
      <c r="V2" s="3742"/>
      <c r="W2" s="3742"/>
      <c r="X2" s="3742"/>
      <c r="Y2" s="3742"/>
      <c r="Z2" s="3742"/>
      <c r="AA2" s="3742"/>
      <c r="AB2" s="3742"/>
      <c r="AC2" s="3742"/>
      <c r="AD2" s="3742"/>
      <c r="AE2" s="3742"/>
      <c r="AF2" s="3742"/>
      <c r="AG2" s="3742"/>
      <c r="AH2" s="3742"/>
      <c r="AI2" s="3742"/>
      <c r="AJ2" s="3742"/>
      <c r="AK2" s="3742"/>
      <c r="AL2" s="3742"/>
      <c r="AM2" s="3742"/>
      <c r="AN2" s="3742"/>
      <c r="AO2" s="3742"/>
      <c r="AP2" s="3742"/>
      <c r="AQ2" s="550" t="s">
        <v>3</v>
      </c>
      <c r="AR2" s="2098">
        <v>6</v>
      </c>
    </row>
    <row r="3" spans="1:44" ht="15" customHeight="1" x14ac:dyDescent="0.25">
      <c r="A3" s="3280"/>
      <c r="B3" s="3742"/>
      <c r="C3" s="3742"/>
      <c r="D3" s="3742"/>
      <c r="E3" s="3742"/>
      <c r="F3" s="3742"/>
      <c r="G3" s="3742"/>
      <c r="H3" s="3742"/>
      <c r="I3" s="3742"/>
      <c r="J3" s="3742"/>
      <c r="K3" s="3742"/>
      <c r="L3" s="3742"/>
      <c r="M3" s="3742"/>
      <c r="N3" s="3742"/>
      <c r="O3" s="3742"/>
      <c r="P3" s="3742"/>
      <c r="Q3" s="3742"/>
      <c r="R3" s="3742"/>
      <c r="S3" s="3742"/>
      <c r="T3" s="3742"/>
      <c r="U3" s="3742"/>
      <c r="V3" s="3742"/>
      <c r="W3" s="3742"/>
      <c r="X3" s="3742"/>
      <c r="Y3" s="3742"/>
      <c r="Z3" s="3742"/>
      <c r="AA3" s="3742"/>
      <c r="AB3" s="3742"/>
      <c r="AC3" s="3742"/>
      <c r="AD3" s="3742"/>
      <c r="AE3" s="3742"/>
      <c r="AF3" s="3742"/>
      <c r="AG3" s="3742"/>
      <c r="AH3" s="3742"/>
      <c r="AI3" s="3742"/>
      <c r="AJ3" s="3742"/>
      <c r="AK3" s="3742"/>
      <c r="AL3" s="3742"/>
      <c r="AM3" s="3742"/>
      <c r="AN3" s="3742"/>
      <c r="AO3" s="3742"/>
      <c r="AP3" s="3742"/>
      <c r="AQ3" s="549" t="s">
        <v>5</v>
      </c>
      <c r="AR3" s="2099" t="s">
        <v>6</v>
      </c>
    </row>
    <row r="4" spans="1:44" s="2101" customFormat="1" ht="15" customHeight="1" x14ac:dyDescent="0.2">
      <c r="A4" s="3282"/>
      <c r="B4" s="3283"/>
      <c r="C4" s="3283"/>
      <c r="D4" s="3283"/>
      <c r="E4" s="3283"/>
      <c r="F4" s="3283"/>
      <c r="G4" s="3283"/>
      <c r="H4" s="3283"/>
      <c r="I4" s="3283"/>
      <c r="J4" s="3283"/>
      <c r="K4" s="3283"/>
      <c r="L4" s="3283"/>
      <c r="M4" s="3283"/>
      <c r="N4" s="3283"/>
      <c r="O4" s="3283"/>
      <c r="P4" s="3283"/>
      <c r="Q4" s="3283"/>
      <c r="R4" s="3283"/>
      <c r="S4" s="3283"/>
      <c r="T4" s="3283"/>
      <c r="U4" s="3283"/>
      <c r="V4" s="3283"/>
      <c r="W4" s="3283"/>
      <c r="X4" s="3283"/>
      <c r="Y4" s="3283"/>
      <c r="Z4" s="3283"/>
      <c r="AA4" s="3283"/>
      <c r="AB4" s="3283"/>
      <c r="AC4" s="3283"/>
      <c r="AD4" s="3283"/>
      <c r="AE4" s="3283"/>
      <c r="AF4" s="3283"/>
      <c r="AG4" s="3283"/>
      <c r="AH4" s="3283"/>
      <c r="AI4" s="3283"/>
      <c r="AJ4" s="3283"/>
      <c r="AK4" s="3283"/>
      <c r="AL4" s="3283"/>
      <c r="AM4" s="3283"/>
      <c r="AN4" s="3283"/>
      <c r="AO4" s="3283"/>
      <c r="AP4" s="3283"/>
      <c r="AQ4" s="553" t="s">
        <v>7</v>
      </c>
      <c r="AR4" s="2100" t="s">
        <v>329</v>
      </c>
    </row>
    <row r="5" spans="1:44" ht="17.25" customHeight="1" x14ac:dyDescent="0.2">
      <c r="A5" s="4207" t="s">
        <v>9</v>
      </c>
      <c r="B5" s="4208"/>
      <c r="C5" s="4208"/>
      <c r="D5" s="4208"/>
      <c r="E5" s="4208"/>
      <c r="F5" s="4208"/>
      <c r="G5" s="4208"/>
      <c r="H5" s="4208"/>
      <c r="I5" s="4208"/>
      <c r="J5" s="4208"/>
      <c r="K5" s="4208"/>
      <c r="L5" s="4208"/>
      <c r="M5" s="4208"/>
      <c r="N5" s="4209"/>
      <c r="O5" s="555"/>
      <c r="P5" s="555"/>
      <c r="Q5" s="3285" t="s">
        <v>10</v>
      </c>
      <c r="R5" s="3285"/>
      <c r="S5" s="3285"/>
      <c r="T5" s="3285"/>
      <c r="U5" s="3285"/>
      <c r="V5" s="3285"/>
      <c r="W5" s="3285"/>
      <c r="X5" s="3285"/>
      <c r="Y5" s="3285"/>
      <c r="Z5" s="3285"/>
      <c r="AA5" s="3285"/>
      <c r="AB5" s="3285"/>
      <c r="AC5" s="3285"/>
      <c r="AD5" s="3285"/>
      <c r="AE5" s="3285"/>
      <c r="AF5" s="3285"/>
      <c r="AG5" s="3285"/>
      <c r="AH5" s="3285"/>
      <c r="AI5" s="3285"/>
      <c r="AJ5" s="3285"/>
      <c r="AK5" s="3285"/>
      <c r="AL5" s="3285"/>
      <c r="AM5" s="3285"/>
      <c r="AN5" s="3285"/>
      <c r="AO5" s="3285"/>
      <c r="AP5" s="3285"/>
      <c r="AQ5" s="3285"/>
      <c r="AR5" s="4213"/>
    </row>
    <row r="6" spans="1:44" ht="21" customHeight="1" x14ac:dyDescent="0.2">
      <c r="A6" s="4210"/>
      <c r="B6" s="4211"/>
      <c r="C6" s="4211"/>
      <c r="D6" s="4211"/>
      <c r="E6" s="4211"/>
      <c r="F6" s="4211"/>
      <c r="G6" s="4211"/>
      <c r="H6" s="4211"/>
      <c r="I6" s="4211"/>
      <c r="J6" s="4211"/>
      <c r="K6" s="4211"/>
      <c r="L6" s="4211"/>
      <c r="M6" s="4211"/>
      <c r="N6" s="4212"/>
      <c r="O6" s="555"/>
      <c r="P6" s="2102"/>
      <c r="Q6" s="4214"/>
      <c r="R6" s="3286"/>
      <c r="S6" s="3286"/>
      <c r="T6" s="3286"/>
      <c r="U6" s="3286"/>
      <c r="V6" s="3286"/>
      <c r="W6" s="3286"/>
      <c r="X6" s="3286"/>
      <c r="Y6" s="4215"/>
      <c r="Z6" s="396"/>
      <c r="AA6" s="396"/>
      <c r="AB6" s="396"/>
      <c r="AC6" s="396"/>
      <c r="AD6" s="396"/>
      <c r="AE6" s="396"/>
      <c r="AF6" s="396"/>
      <c r="AG6" s="396"/>
      <c r="AH6" s="396"/>
      <c r="AI6" s="396"/>
      <c r="AJ6" s="396"/>
      <c r="AK6" s="396"/>
      <c r="AL6" s="396"/>
      <c r="AM6" s="396"/>
      <c r="AN6" s="396"/>
      <c r="AO6" s="396"/>
      <c r="AP6" s="4214"/>
      <c r="AQ6" s="3286"/>
      <c r="AR6" s="3287"/>
    </row>
    <row r="7" spans="1:44" ht="15.75" x14ac:dyDescent="0.2">
      <c r="A7" s="4206" t="s">
        <v>12</v>
      </c>
      <c r="B7" s="3741" t="s">
        <v>13</v>
      </c>
      <c r="C7" s="3741"/>
      <c r="D7" s="3741" t="s">
        <v>12</v>
      </c>
      <c r="E7" s="3741" t="s">
        <v>14</v>
      </c>
      <c r="F7" s="3741"/>
      <c r="G7" s="3741" t="s">
        <v>12</v>
      </c>
      <c r="H7" s="3741" t="s">
        <v>15</v>
      </c>
      <c r="I7" s="3741"/>
      <c r="J7" s="3741" t="s">
        <v>12</v>
      </c>
      <c r="K7" s="3741" t="s">
        <v>16</v>
      </c>
      <c r="L7" s="3741" t="s">
        <v>17</v>
      </c>
      <c r="M7" s="3739" t="s">
        <v>18</v>
      </c>
      <c r="N7" s="4216"/>
      <c r="O7" s="3741" t="s">
        <v>19</v>
      </c>
      <c r="P7" s="4219" t="s">
        <v>741</v>
      </c>
      <c r="Q7" s="3741" t="s">
        <v>10</v>
      </c>
      <c r="R7" s="3741" t="s">
        <v>21</v>
      </c>
      <c r="S7" s="3741" t="s">
        <v>22</v>
      </c>
      <c r="T7" s="3741" t="s">
        <v>23</v>
      </c>
      <c r="U7" s="3741" t="s">
        <v>24</v>
      </c>
      <c r="V7" s="3741" t="s">
        <v>25</v>
      </c>
      <c r="W7" s="3739" t="s">
        <v>22</v>
      </c>
      <c r="X7" s="4219" t="s">
        <v>12</v>
      </c>
      <c r="Y7" s="3741" t="s">
        <v>26</v>
      </c>
      <c r="Z7" s="3683" t="s">
        <v>27</v>
      </c>
      <c r="AA7" s="3684"/>
      <c r="AB7" s="3676" t="s">
        <v>28</v>
      </c>
      <c r="AC7" s="3677"/>
      <c r="AD7" s="3677"/>
      <c r="AE7" s="3677"/>
      <c r="AF7" s="3674" t="s">
        <v>29</v>
      </c>
      <c r="AG7" s="3675"/>
      <c r="AH7" s="3675"/>
      <c r="AI7" s="3675"/>
      <c r="AJ7" s="3675"/>
      <c r="AK7" s="3675"/>
      <c r="AL7" s="3676" t="s">
        <v>30</v>
      </c>
      <c r="AM7" s="3677"/>
      <c r="AN7" s="3677"/>
      <c r="AO7" s="3678" t="s">
        <v>31</v>
      </c>
      <c r="AP7" s="4223" t="s">
        <v>32</v>
      </c>
      <c r="AQ7" s="4223" t="s">
        <v>33</v>
      </c>
      <c r="AR7" s="4221" t="s">
        <v>34</v>
      </c>
    </row>
    <row r="8" spans="1:44" ht="145.5" customHeight="1" x14ac:dyDescent="0.2">
      <c r="A8" s="4206"/>
      <c r="B8" s="3741"/>
      <c r="C8" s="3741"/>
      <c r="D8" s="3741"/>
      <c r="E8" s="3741"/>
      <c r="F8" s="3741"/>
      <c r="G8" s="3741"/>
      <c r="H8" s="3741"/>
      <c r="I8" s="3741"/>
      <c r="J8" s="3741"/>
      <c r="K8" s="3741"/>
      <c r="L8" s="3741"/>
      <c r="M8" s="4217"/>
      <c r="N8" s="4218"/>
      <c r="O8" s="3741"/>
      <c r="P8" s="4220"/>
      <c r="Q8" s="3741"/>
      <c r="R8" s="3741"/>
      <c r="S8" s="3741"/>
      <c r="T8" s="3741"/>
      <c r="U8" s="3741"/>
      <c r="V8" s="3741"/>
      <c r="W8" s="3740"/>
      <c r="X8" s="4220"/>
      <c r="Y8" s="3741"/>
      <c r="Z8" s="2103" t="s">
        <v>35</v>
      </c>
      <c r="AA8" s="2104" t="s">
        <v>36</v>
      </c>
      <c r="AB8" s="558" t="s">
        <v>37</v>
      </c>
      <c r="AC8" s="2103" t="s">
        <v>125</v>
      </c>
      <c r="AD8" s="558" t="s">
        <v>39</v>
      </c>
      <c r="AE8" s="2103" t="s">
        <v>127</v>
      </c>
      <c r="AF8" s="2103" t="s">
        <v>41</v>
      </c>
      <c r="AG8" s="2103" t="s">
        <v>42</v>
      </c>
      <c r="AH8" s="2103" t="s">
        <v>43</v>
      </c>
      <c r="AI8" s="2103" t="s">
        <v>44</v>
      </c>
      <c r="AJ8" s="2103" t="s">
        <v>45</v>
      </c>
      <c r="AK8" s="2103" t="s">
        <v>46</v>
      </c>
      <c r="AL8" s="2103" t="s">
        <v>47</v>
      </c>
      <c r="AM8" s="2103" t="s">
        <v>48</v>
      </c>
      <c r="AN8" s="2103" t="s">
        <v>49</v>
      </c>
      <c r="AO8" s="3679"/>
      <c r="AP8" s="4224"/>
      <c r="AQ8" s="4224"/>
      <c r="AR8" s="4221"/>
    </row>
    <row r="9" spans="1:44" ht="15.75" x14ac:dyDescent="0.2">
      <c r="A9" s="4206"/>
      <c r="B9" s="3741"/>
      <c r="C9" s="3741"/>
      <c r="D9" s="3741"/>
      <c r="E9" s="3741"/>
      <c r="F9" s="3741"/>
      <c r="G9" s="3741"/>
      <c r="H9" s="3741"/>
      <c r="I9" s="3741"/>
      <c r="J9" s="3741"/>
      <c r="K9" s="3741"/>
      <c r="L9" s="3741"/>
      <c r="M9" s="2105" t="s">
        <v>124</v>
      </c>
      <c r="N9" s="2106" t="s">
        <v>1841</v>
      </c>
      <c r="O9" s="3741"/>
      <c r="P9" s="4220"/>
      <c r="Q9" s="3741"/>
      <c r="R9" s="3741"/>
      <c r="S9" s="3741"/>
      <c r="T9" s="3741"/>
      <c r="U9" s="3741"/>
      <c r="V9" s="3741"/>
      <c r="W9" s="2105"/>
      <c r="X9" s="4222"/>
      <c r="Y9" s="3741"/>
      <c r="Z9" s="2105" t="s">
        <v>124</v>
      </c>
      <c r="AA9" s="2105" t="s">
        <v>124</v>
      </c>
      <c r="AB9" s="2105" t="s">
        <v>124</v>
      </c>
      <c r="AC9" s="2105" t="s">
        <v>124</v>
      </c>
      <c r="AD9" s="2105" t="s">
        <v>124</v>
      </c>
      <c r="AE9" s="2105" t="s">
        <v>124</v>
      </c>
      <c r="AF9" s="2105" t="s">
        <v>124</v>
      </c>
      <c r="AG9" s="2105" t="s">
        <v>124</v>
      </c>
      <c r="AH9" s="2105" t="s">
        <v>124</v>
      </c>
      <c r="AI9" s="2105" t="s">
        <v>124</v>
      </c>
      <c r="AJ9" s="2105" t="s">
        <v>124</v>
      </c>
      <c r="AK9" s="2105" t="s">
        <v>124</v>
      </c>
      <c r="AL9" s="2105" t="s">
        <v>124</v>
      </c>
      <c r="AM9" s="2105" t="s">
        <v>124</v>
      </c>
      <c r="AN9" s="2105" t="s">
        <v>124</v>
      </c>
      <c r="AO9" s="2105" t="s">
        <v>124</v>
      </c>
      <c r="AP9" s="2107" t="s">
        <v>124</v>
      </c>
      <c r="AQ9" s="2107" t="s">
        <v>124</v>
      </c>
      <c r="AR9" s="4221"/>
    </row>
    <row r="10" spans="1:44" ht="15.75" x14ac:dyDescent="0.2">
      <c r="A10" s="2108">
        <v>5</v>
      </c>
      <c r="B10" s="2109" t="s">
        <v>50</v>
      </c>
      <c r="C10" s="2109"/>
      <c r="D10" s="2109"/>
      <c r="E10" s="2109"/>
      <c r="F10" s="2109"/>
      <c r="G10" s="2109"/>
      <c r="H10" s="2109"/>
      <c r="I10" s="2109"/>
      <c r="J10" s="2109"/>
      <c r="K10" s="2109"/>
      <c r="L10" s="2109"/>
      <c r="M10" s="2109"/>
      <c r="N10" s="2109"/>
      <c r="O10" s="2109"/>
      <c r="P10" s="2109"/>
      <c r="Q10" s="2109"/>
      <c r="R10" s="2109"/>
      <c r="S10" s="2109"/>
      <c r="T10" s="2109"/>
      <c r="U10" s="2109"/>
      <c r="V10" s="2109"/>
      <c r="W10" s="2109"/>
      <c r="X10" s="2109"/>
      <c r="Y10" s="2109"/>
      <c r="Z10" s="2109"/>
      <c r="AA10" s="2109"/>
      <c r="AB10" s="2109"/>
      <c r="AC10" s="2109"/>
      <c r="AD10" s="2109"/>
      <c r="AE10" s="2109"/>
      <c r="AF10" s="2109"/>
      <c r="AG10" s="2109"/>
      <c r="AH10" s="2110"/>
      <c r="AI10" s="2110"/>
      <c r="AJ10" s="2110"/>
      <c r="AK10" s="2110"/>
      <c r="AL10" s="2110"/>
      <c r="AM10" s="2110"/>
      <c r="AN10" s="2110"/>
      <c r="AO10" s="2110"/>
      <c r="AP10" s="2110"/>
      <c r="AQ10" s="2110"/>
      <c r="AR10" s="2111"/>
    </row>
    <row r="11" spans="1:44" s="2115" customFormat="1" ht="15.75" x14ac:dyDescent="0.2">
      <c r="A11" s="4225"/>
      <c r="B11" s="3802"/>
      <c r="C11" s="3802"/>
      <c r="D11" s="2112">
        <v>25</v>
      </c>
      <c r="E11" s="4227" t="s">
        <v>1556</v>
      </c>
      <c r="F11" s="4227"/>
      <c r="G11" s="4227"/>
      <c r="H11" s="4227"/>
      <c r="I11" s="4227"/>
      <c r="J11" s="4227"/>
      <c r="K11" s="4227"/>
      <c r="L11" s="4227"/>
      <c r="M11" s="4227"/>
      <c r="N11" s="4227"/>
      <c r="O11" s="4227"/>
      <c r="P11" s="4227"/>
      <c r="Q11" s="4227"/>
      <c r="R11" s="4227"/>
      <c r="S11" s="4227"/>
      <c r="T11" s="4227"/>
      <c r="U11" s="4227"/>
      <c r="V11" s="4227"/>
      <c r="W11" s="4227"/>
      <c r="X11" s="4227"/>
      <c r="Y11" s="4227"/>
      <c r="Z11" s="4227"/>
      <c r="AA11" s="4227"/>
      <c r="AB11" s="4227"/>
      <c r="AC11" s="4227"/>
      <c r="AD11" s="4227"/>
      <c r="AE11" s="4227"/>
      <c r="AF11" s="4227"/>
      <c r="AG11" s="4227"/>
      <c r="AH11" s="2113"/>
      <c r="AI11" s="2113"/>
      <c r="AJ11" s="2113"/>
      <c r="AK11" s="2113"/>
      <c r="AL11" s="2113"/>
      <c r="AM11" s="2113"/>
      <c r="AN11" s="2113"/>
      <c r="AO11" s="2113"/>
      <c r="AP11" s="2113"/>
      <c r="AQ11" s="2113"/>
      <c r="AR11" s="2114"/>
    </row>
    <row r="12" spans="1:44" s="2115" customFormat="1" ht="15.75" x14ac:dyDescent="0.2">
      <c r="A12" s="4225"/>
      <c r="B12" s="3802"/>
      <c r="C12" s="3802"/>
      <c r="D12" s="3802"/>
      <c r="E12" s="3802"/>
      <c r="F12" s="3802"/>
      <c r="G12" s="2116">
        <v>83</v>
      </c>
      <c r="H12" s="4228" t="s">
        <v>1557</v>
      </c>
      <c r="I12" s="4229"/>
      <c r="J12" s="4229"/>
      <c r="K12" s="4229"/>
      <c r="L12" s="4229"/>
      <c r="M12" s="4229"/>
      <c r="N12" s="4229"/>
      <c r="O12" s="4229"/>
      <c r="P12" s="4229"/>
      <c r="Q12" s="4229"/>
      <c r="R12" s="4229"/>
      <c r="S12" s="4229"/>
      <c r="T12" s="4229"/>
      <c r="U12" s="4229"/>
      <c r="V12" s="4229"/>
      <c r="W12" s="4229"/>
      <c r="X12" s="4229"/>
      <c r="Y12" s="4229"/>
      <c r="Z12" s="4229"/>
      <c r="AA12" s="4229"/>
      <c r="AB12" s="4229"/>
      <c r="AC12" s="4229"/>
      <c r="AD12" s="4229"/>
      <c r="AE12" s="4229"/>
      <c r="AF12" s="4229"/>
      <c r="AG12" s="4229"/>
      <c r="AH12" s="2117"/>
      <c r="AI12" s="2117"/>
      <c r="AJ12" s="2117"/>
      <c r="AK12" s="2117"/>
      <c r="AL12" s="2117"/>
      <c r="AM12" s="2117"/>
      <c r="AN12" s="2117"/>
      <c r="AO12" s="2117"/>
      <c r="AP12" s="2117"/>
      <c r="AQ12" s="2117"/>
      <c r="AR12" s="2118"/>
    </row>
    <row r="13" spans="1:44" ht="168" customHeight="1" x14ac:dyDescent="0.2">
      <c r="A13" s="4225"/>
      <c r="B13" s="3802"/>
      <c r="C13" s="3802"/>
      <c r="D13" s="3802"/>
      <c r="E13" s="3802"/>
      <c r="F13" s="3802"/>
      <c r="G13" s="3802"/>
      <c r="H13" s="3802"/>
      <c r="I13" s="3802"/>
      <c r="J13" s="3754">
        <v>243</v>
      </c>
      <c r="K13" s="4230" t="s">
        <v>1842</v>
      </c>
      <c r="L13" s="3770" t="s">
        <v>1843</v>
      </c>
      <c r="M13" s="3802">
        <v>6</v>
      </c>
      <c r="N13" s="2549">
        <v>6</v>
      </c>
      <c r="O13" s="3770" t="s">
        <v>1844</v>
      </c>
      <c r="P13" s="3770" t="s">
        <v>1845</v>
      </c>
      <c r="Q13" s="3770" t="s">
        <v>1846</v>
      </c>
      <c r="R13" s="4235">
        <f>SUM(W13:W20)/S13</f>
        <v>1</v>
      </c>
      <c r="S13" s="3906">
        <f>SUM(W13:W20)</f>
        <v>71548128</v>
      </c>
      <c r="T13" s="3770" t="s">
        <v>1847</v>
      </c>
      <c r="U13" s="2553" t="s">
        <v>1848</v>
      </c>
      <c r="V13" s="3770" t="s">
        <v>1849</v>
      </c>
      <c r="W13" s="3906">
        <v>17887032</v>
      </c>
      <c r="X13" s="698">
        <v>20</v>
      </c>
      <c r="Y13" s="3754" t="s">
        <v>1850</v>
      </c>
      <c r="Z13" s="4232">
        <v>292684</v>
      </c>
      <c r="AA13" s="4232">
        <v>282326</v>
      </c>
      <c r="AB13" s="4232">
        <v>135912</v>
      </c>
      <c r="AC13" s="4232">
        <v>45122</v>
      </c>
      <c r="AD13" s="4232">
        <v>307101</v>
      </c>
      <c r="AE13" s="4232">
        <v>86875</v>
      </c>
      <c r="AF13" s="4232">
        <v>2145</v>
      </c>
      <c r="AG13" s="4232">
        <v>12718</v>
      </c>
      <c r="AH13" s="4232">
        <v>26</v>
      </c>
      <c r="AI13" s="4232">
        <v>37</v>
      </c>
      <c r="AJ13" s="4232"/>
      <c r="AK13" s="4232"/>
      <c r="AL13" s="4232">
        <v>53164</v>
      </c>
      <c r="AM13" s="4232">
        <v>16982</v>
      </c>
      <c r="AN13" s="4232">
        <v>60013</v>
      </c>
      <c r="AO13" s="4232">
        <f>+Z13+AA13</f>
        <v>575010</v>
      </c>
      <c r="AP13" s="4238">
        <v>43467</v>
      </c>
      <c r="AQ13" s="4238">
        <v>43830</v>
      </c>
      <c r="AR13" s="4242" t="s">
        <v>1851</v>
      </c>
    </row>
    <row r="14" spans="1:44" ht="15" customHeight="1" x14ac:dyDescent="0.2">
      <c r="A14" s="4225"/>
      <c r="B14" s="3802"/>
      <c r="C14" s="3802"/>
      <c r="D14" s="3802"/>
      <c r="E14" s="3802"/>
      <c r="F14" s="3802"/>
      <c r="G14" s="3802"/>
      <c r="H14" s="3802"/>
      <c r="I14" s="3802"/>
      <c r="J14" s="3752"/>
      <c r="K14" s="4231"/>
      <c r="L14" s="3750"/>
      <c r="M14" s="3802"/>
      <c r="N14" s="2549"/>
      <c r="O14" s="3750"/>
      <c r="P14" s="3750"/>
      <c r="Q14" s="3750"/>
      <c r="R14" s="4236"/>
      <c r="S14" s="3788"/>
      <c r="T14" s="3750"/>
      <c r="U14" s="3871"/>
      <c r="V14" s="3751"/>
      <c r="W14" s="3907"/>
      <c r="X14" s="2119"/>
      <c r="Y14" s="3752"/>
      <c r="Z14" s="4233"/>
      <c r="AA14" s="4233"/>
      <c r="AB14" s="4233"/>
      <c r="AC14" s="4233"/>
      <c r="AD14" s="4233"/>
      <c r="AE14" s="4233"/>
      <c r="AF14" s="4233"/>
      <c r="AG14" s="4233"/>
      <c r="AH14" s="4233"/>
      <c r="AI14" s="4233"/>
      <c r="AJ14" s="4233"/>
      <c r="AK14" s="4233"/>
      <c r="AL14" s="4233"/>
      <c r="AM14" s="4233"/>
      <c r="AN14" s="4233"/>
      <c r="AO14" s="4233"/>
      <c r="AP14" s="4239"/>
      <c r="AQ14" s="4239"/>
      <c r="AR14" s="4243"/>
    </row>
    <row r="15" spans="1:44" ht="83.25" customHeight="1" x14ac:dyDescent="0.2">
      <c r="A15" s="4225"/>
      <c r="B15" s="3802"/>
      <c r="C15" s="3802"/>
      <c r="D15" s="3802"/>
      <c r="E15" s="3802"/>
      <c r="F15" s="3802"/>
      <c r="G15" s="3802"/>
      <c r="H15" s="3802"/>
      <c r="I15" s="3802"/>
      <c r="J15" s="3752"/>
      <c r="K15" s="4231"/>
      <c r="L15" s="3750"/>
      <c r="M15" s="3802"/>
      <c r="N15" s="2549"/>
      <c r="O15" s="3750"/>
      <c r="P15" s="3750"/>
      <c r="Q15" s="3750"/>
      <c r="R15" s="4236"/>
      <c r="S15" s="3788"/>
      <c r="T15" s="3750"/>
      <c r="U15" s="3871"/>
      <c r="V15" s="3770" t="s">
        <v>1852</v>
      </c>
      <c r="W15" s="3906">
        <v>17887032</v>
      </c>
      <c r="X15" s="4240">
        <v>20</v>
      </c>
      <c r="Y15" s="3752"/>
      <c r="Z15" s="4233"/>
      <c r="AA15" s="4233"/>
      <c r="AB15" s="4233"/>
      <c r="AC15" s="4233"/>
      <c r="AD15" s="4233"/>
      <c r="AE15" s="4233"/>
      <c r="AF15" s="4233"/>
      <c r="AG15" s="4233"/>
      <c r="AH15" s="4233"/>
      <c r="AI15" s="4233"/>
      <c r="AJ15" s="4233"/>
      <c r="AK15" s="4233"/>
      <c r="AL15" s="4233"/>
      <c r="AM15" s="4233"/>
      <c r="AN15" s="4233"/>
      <c r="AO15" s="4233"/>
      <c r="AP15" s="4239"/>
      <c r="AQ15" s="4239"/>
      <c r="AR15" s="4243"/>
    </row>
    <row r="16" spans="1:44" ht="14.25" customHeight="1" x14ac:dyDescent="0.2">
      <c r="A16" s="4225"/>
      <c r="B16" s="3802"/>
      <c r="C16" s="3802"/>
      <c r="D16" s="3802"/>
      <c r="E16" s="3802"/>
      <c r="F16" s="3802"/>
      <c r="G16" s="3802"/>
      <c r="H16" s="3802"/>
      <c r="I16" s="3802"/>
      <c r="J16" s="3752"/>
      <c r="K16" s="4231"/>
      <c r="L16" s="3750"/>
      <c r="M16" s="3802"/>
      <c r="N16" s="2549"/>
      <c r="O16" s="3750"/>
      <c r="P16" s="3750"/>
      <c r="Q16" s="3750"/>
      <c r="R16" s="4236"/>
      <c r="S16" s="3788"/>
      <c r="T16" s="3750"/>
      <c r="U16" s="2554"/>
      <c r="V16" s="3751"/>
      <c r="W16" s="3907"/>
      <c r="X16" s="4244"/>
      <c r="Y16" s="3752"/>
      <c r="Z16" s="4233"/>
      <c r="AA16" s="4233"/>
      <c r="AB16" s="4233"/>
      <c r="AC16" s="4233"/>
      <c r="AD16" s="4233"/>
      <c r="AE16" s="4233"/>
      <c r="AF16" s="4233"/>
      <c r="AG16" s="4233"/>
      <c r="AH16" s="4233"/>
      <c r="AI16" s="4233"/>
      <c r="AJ16" s="4233"/>
      <c r="AK16" s="4233"/>
      <c r="AL16" s="4233"/>
      <c r="AM16" s="4233"/>
      <c r="AN16" s="4233"/>
      <c r="AO16" s="4233"/>
      <c r="AP16" s="4239"/>
      <c r="AQ16" s="4239"/>
      <c r="AR16" s="4243"/>
    </row>
    <row r="17" spans="1:44" ht="14.25" customHeight="1" x14ac:dyDescent="0.2">
      <c r="A17" s="4225"/>
      <c r="B17" s="3802"/>
      <c r="C17" s="3802"/>
      <c r="D17" s="3802"/>
      <c r="E17" s="3802"/>
      <c r="F17" s="3802"/>
      <c r="G17" s="3802"/>
      <c r="H17" s="3802"/>
      <c r="I17" s="3802"/>
      <c r="J17" s="3752"/>
      <c r="K17" s="4231"/>
      <c r="L17" s="3750"/>
      <c r="M17" s="3802"/>
      <c r="N17" s="2549"/>
      <c r="O17" s="3750"/>
      <c r="P17" s="3750"/>
      <c r="Q17" s="3750"/>
      <c r="R17" s="4236"/>
      <c r="S17" s="3788"/>
      <c r="T17" s="3750"/>
      <c r="U17" s="3770" t="s">
        <v>1853</v>
      </c>
      <c r="V17" s="3770" t="s">
        <v>1854</v>
      </c>
      <c r="W17" s="3906">
        <v>17887032</v>
      </c>
      <c r="X17" s="4240">
        <v>20</v>
      </c>
      <c r="Y17" s="3752"/>
      <c r="Z17" s="4233"/>
      <c r="AA17" s="4233"/>
      <c r="AB17" s="4233"/>
      <c r="AC17" s="4233"/>
      <c r="AD17" s="4233"/>
      <c r="AE17" s="4233"/>
      <c r="AF17" s="4233"/>
      <c r="AG17" s="4233"/>
      <c r="AH17" s="4233"/>
      <c r="AI17" s="4233"/>
      <c r="AJ17" s="4233"/>
      <c r="AK17" s="4233"/>
      <c r="AL17" s="4233"/>
      <c r="AM17" s="4233"/>
      <c r="AN17" s="4233"/>
      <c r="AO17" s="4233"/>
      <c r="AP17" s="4239"/>
      <c r="AQ17" s="4239"/>
      <c r="AR17" s="4243"/>
    </row>
    <row r="18" spans="1:44" ht="101.25" customHeight="1" x14ac:dyDescent="0.2">
      <c r="A18" s="4225"/>
      <c r="B18" s="3802"/>
      <c r="C18" s="3802"/>
      <c r="D18" s="3802"/>
      <c r="E18" s="3802"/>
      <c r="F18" s="3802"/>
      <c r="G18" s="3802"/>
      <c r="H18" s="3802"/>
      <c r="I18" s="3802"/>
      <c r="J18" s="3752"/>
      <c r="K18" s="4231"/>
      <c r="L18" s="3750"/>
      <c r="M18" s="3802"/>
      <c r="N18" s="2549"/>
      <c r="O18" s="3750"/>
      <c r="P18" s="3750"/>
      <c r="Q18" s="3750"/>
      <c r="R18" s="4236"/>
      <c r="S18" s="3788"/>
      <c r="T18" s="3750"/>
      <c r="U18" s="3750"/>
      <c r="V18" s="3751"/>
      <c r="W18" s="3907"/>
      <c r="X18" s="4244"/>
      <c r="Y18" s="3752"/>
      <c r="Z18" s="4233"/>
      <c r="AA18" s="4233"/>
      <c r="AB18" s="4233"/>
      <c r="AC18" s="4233"/>
      <c r="AD18" s="4233"/>
      <c r="AE18" s="4233"/>
      <c r="AF18" s="4233"/>
      <c r="AG18" s="4233"/>
      <c r="AH18" s="4233"/>
      <c r="AI18" s="4233"/>
      <c r="AJ18" s="4233"/>
      <c r="AK18" s="4233"/>
      <c r="AL18" s="4233"/>
      <c r="AM18" s="4233"/>
      <c r="AN18" s="4233"/>
      <c r="AO18" s="4233"/>
      <c r="AP18" s="4239"/>
      <c r="AQ18" s="4239"/>
      <c r="AR18" s="4243"/>
    </row>
    <row r="19" spans="1:44" ht="14.25" customHeight="1" x14ac:dyDescent="0.2">
      <c r="A19" s="4225"/>
      <c r="B19" s="3802"/>
      <c r="C19" s="3802"/>
      <c r="D19" s="3802"/>
      <c r="E19" s="3802"/>
      <c r="F19" s="3802"/>
      <c r="G19" s="3802"/>
      <c r="H19" s="3802"/>
      <c r="I19" s="3802"/>
      <c r="J19" s="3752"/>
      <c r="K19" s="4231"/>
      <c r="L19" s="3750"/>
      <c r="M19" s="3802"/>
      <c r="N19" s="2549"/>
      <c r="O19" s="3750"/>
      <c r="P19" s="3750"/>
      <c r="Q19" s="3750"/>
      <c r="R19" s="4236"/>
      <c r="S19" s="3788"/>
      <c r="T19" s="3750"/>
      <c r="U19" s="3750"/>
      <c r="V19" s="3770" t="s">
        <v>1855</v>
      </c>
      <c r="W19" s="3906">
        <v>17887032</v>
      </c>
      <c r="X19" s="4240">
        <v>20</v>
      </c>
      <c r="Y19" s="3752"/>
      <c r="Z19" s="4233"/>
      <c r="AA19" s="4233"/>
      <c r="AB19" s="4233"/>
      <c r="AC19" s="4233"/>
      <c r="AD19" s="4233"/>
      <c r="AE19" s="4233"/>
      <c r="AF19" s="4233"/>
      <c r="AG19" s="4233"/>
      <c r="AH19" s="4233"/>
      <c r="AI19" s="4233"/>
      <c r="AJ19" s="4233"/>
      <c r="AK19" s="4233"/>
      <c r="AL19" s="4233"/>
      <c r="AM19" s="4233"/>
      <c r="AN19" s="4233"/>
      <c r="AO19" s="4233"/>
      <c r="AP19" s="4239"/>
      <c r="AQ19" s="4239"/>
      <c r="AR19" s="4243"/>
    </row>
    <row r="20" spans="1:44" ht="63.75" customHeight="1" thickBot="1" x14ac:dyDescent="0.25">
      <c r="A20" s="4226"/>
      <c r="B20" s="3754"/>
      <c r="C20" s="3754"/>
      <c r="D20" s="3754"/>
      <c r="E20" s="3754"/>
      <c r="F20" s="3754"/>
      <c r="G20" s="3754"/>
      <c r="H20" s="3754"/>
      <c r="I20" s="3754"/>
      <c r="J20" s="3752"/>
      <c r="K20" s="4231"/>
      <c r="L20" s="3750"/>
      <c r="M20" s="3754"/>
      <c r="N20" s="3769"/>
      <c r="O20" s="3750"/>
      <c r="P20" s="3750"/>
      <c r="Q20" s="3750"/>
      <c r="R20" s="4236"/>
      <c r="S20" s="3907"/>
      <c r="T20" s="3751"/>
      <c r="U20" s="3751"/>
      <c r="V20" s="3751"/>
      <c r="W20" s="3907"/>
      <c r="X20" s="4241"/>
      <c r="Y20" s="3753"/>
      <c r="Z20" s="4237"/>
      <c r="AA20" s="4237"/>
      <c r="AB20" s="4237"/>
      <c r="AC20" s="4234"/>
      <c r="AD20" s="4234"/>
      <c r="AE20" s="4234"/>
      <c r="AF20" s="4234"/>
      <c r="AG20" s="4234"/>
      <c r="AH20" s="4234"/>
      <c r="AI20" s="4234"/>
      <c r="AJ20" s="4237"/>
      <c r="AK20" s="4237"/>
      <c r="AL20" s="4234"/>
      <c r="AM20" s="4234"/>
      <c r="AN20" s="4234"/>
      <c r="AO20" s="4234"/>
      <c r="AP20" s="4239"/>
      <c r="AQ20" s="4239"/>
      <c r="AR20" s="4243"/>
    </row>
    <row r="21" spans="1:44" s="1198" customFormat="1" ht="16.5" thickBot="1" x14ac:dyDescent="0.3">
      <c r="A21" s="2120"/>
      <c r="B21" s="2121"/>
      <c r="C21" s="2121"/>
      <c r="D21" s="2121"/>
      <c r="E21" s="2121"/>
      <c r="F21" s="2121"/>
      <c r="G21" s="3721" t="s">
        <v>325</v>
      </c>
      <c r="H21" s="3721"/>
      <c r="I21" s="3721"/>
      <c r="J21" s="3721"/>
      <c r="K21" s="3721"/>
      <c r="L21" s="3721"/>
      <c r="M21" s="3721"/>
      <c r="N21" s="3721"/>
      <c r="O21" s="3721"/>
      <c r="P21" s="3721"/>
      <c r="Q21" s="3721"/>
      <c r="R21" s="3722"/>
      <c r="S21" s="2122">
        <f>SUM(S13)</f>
        <v>71548128</v>
      </c>
      <c r="T21" s="2120"/>
      <c r="U21" s="2121"/>
      <c r="V21" s="2123"/>
      <c r="W21" s="2025">
        <f>SUM(W13:W20)</f>
        <v>71548128</v>
      </c>
      <c r="X21" s="2028"/>
      <c r="Y21" s="2124"/>
      <c r="Z21" s="2124"/>
      <c r="AA21" s="2124"/>
      <c r="AB21" s="2124"/>
      <c r="AC21" s="2124"/>
      <c r="AD21" s="2124"/>
      <c r="AE21" s="2124"/>
      <c r="AF21" s="2124"/>
      <c r="AG21" s="2124"/>
      <c r="AH21" s="2124"/>
      <c r="AI21" s="2124"/>
      <c r="AJ21" s="2124"/>
      <c r="AK21" s="2124"/>
      <c r="AL21" s="2124"/>
      <c r="AM21" s="2124"/>
      <c r="AN21" s="2124"/>
      <c r="AO21" s="2124"/>
      <c r="AP21" s="2125"/>
      <c r="AQ21" s="2126"/>
      <c r="AR21" s="2127"/>
    </row>
    <row r="22" spans="1:44" ht="14.25" customHeight="1" x14ac:dyDescent="0.2">
      <c r="S22" s="2128"/>
    </row>
    <row r="23" spans="1:44" x14ac:dyDescent="0.2">
      <c r="S23" s="2129"/>
    </row>
    <row r="24" spans="1:44" x14ac:dyDescent="0.2">
      <c r="W24" s="2129"/>
    </row>
    <row r="27" spans="1:44" ht="15.75" x14ac:dyDescent="0.25">
      <c r="M27" s="2130" t="s">
        <v>1856</v>
      </c>
      <c r="N27" s="2131"/>
      <c r="O27" s="2131"/>
      <c r="P27" s="2131"/>
      <c r="Q27" s="2131"/>
      <c r="T27" s="2132"/>
    </row>
    <row r="28" spans="1:44" ht="15.75" x14ac:dyDescent="0.25">
      <c r="M28" s="412" t="s">
        <v>1851</v>
      </c>
      <c r="T28" s="2132"/>
    </row>
  </sheetData>
  <sheetProtection password="F3F4" sheet="1" objects="1" scenarios="1"/>
  <mergeCells count="87">
    <mergeCell ref="G21:R21"/>
    <mergeCell ref="AQ13:AQ20"/>
    <mergeCell ref="AR13:AR20"/>
    <mergeCell ref="V15:V16"/>
    <mergeCell ref="W15:W16"/>
    <mergeCell ref="X15:X16"/>
    <mergeCell ref="U17:U20"/>
    <mergeCell ref="V17:V18"/>
    <mergeCell ref="W17:W18"/>
    <mergeCell ref="X17:X18"/>
    <mergeCell ref="V19:V20"/>
    <mergeCell ref="AK13:AK20"/>
    <mergeCell ref="AL13:AL20"/>
    <mergeCell ref="AM13:AM20"/>
    <mergeCell ref="AN13:AN20"/>
    <mergeCell ref="AO13:AO20"/>
    <mergeCell ref="AP13:AP20"/>
    <mergeCell ref="AE13:AE20"/>
    <mergeCell ref="AF13:AF20"/>
    <mergeCell ref="AG13:AG20"/>
    <mergeCell ref="AH13:AH20"/>
    <mergeCell ref="AI13:AI20"/>
    <mergeCell ref="AJ13:AJ20"/>
    <mergeCell ref="AD13:AD20"/>
    <mergeCell ref="R13:R20"/>
    <mergeCell ref="S13:S20"/>
    <mergeCell ref="T13:T20"/>
    <mergeCell ref="U13:U16"/>
    <mergeCell ref="V13:V14"/>
    <mergeCell ref="W13:W14"/>
    <mergeCell ref="W19:W20"/>
    <mergeCell ref="Y13:Y20"/>
    <mergeCell ref="Z13:Z20"/>
    <mergeCell ref="AA13:AA20"/>
    <mergeCell ref="AB13:AB20"/>
    <mergeCell ref="AC13:AC20"/>
    <mergeCell ref="X19:X20"/>
    <mergeCell ref="Q13:Q20"/>
    <mergeCell ref="A11:A20"/>
    <mergeCell ref="B11:C20"/>
    <mergeCell ref="E11:AG11"/>
    <mergeCell ref="D12:D20"/>
    <mergeCell ref="E12:F20"/>
    <mergeCell ref="H12:AG12"/>
    <mergeCell ref="G13:G20"/>
    <mergeCell ref="H13:I20"/>
    <mergeCell ref="J13:J20"/>
    <mergeCell ref="K13:K20"/>
    <mergeCell ref="L13:L20"/>
    <mergeCell ref="M13:M20"/>
    <mergeCell ref="N13:N20"/>
    <mergeCell ref="O13:O20"/>
    <mergeCell ref="P13:P20"/>
    <mergeCell ref="AR7:AR9"/>
    <mergeCell ref="V7:V9"/>
    <mergeCell ref="W7:W8"/>
    <mergeCell ref="X7:X9"/>
    <mergeCell ref="Y7:Y9"/>
    <mergeCell ref="Z7:AA7"/>
    <mergeCell ref="AB7:AE7"/>
    <mergeCell ref="AF7:AK7"/>
    <mergeCell ref="AL7:AN7"/>
    <mergeCell ref="AO7:AO8"/>
    <mergeCell ref="AP7:AP8"/>
    <mergeCell ref="AQ7:AQ8"/>
    <mergeCell ref="U7:U9"/>
    <mergeCell ref="H7:I9"/>
    <mergeCell ref="J7:J9"/>
    <mergeCell ref="K7:K9"/>
    <mergeCell ref="L7:L9"/>
    <mergeCell ref="M7:N8"/>
    <mergeCell ref="O7:O9"/>
    <mergeCell ref="P7:P9"/>
    <mergeCell ref="Q7:Q9"/>
    <mergeCell ref="R7:R9"/>
    <mergeCell ref="S7:S9"/>
    <mergeCell ref="T7:T9"/>
    <mergeCell ref="A1:AP4"/>
    <mergeCell ref="A5:N6"/>
    <mergeCell ref="Q5:AR5"/>
    <mergeCell ref="Q6:Y6"/>
    <mergeCell ref="AP6:AR6"/>
    <mergeCell ref="A7:A9"/>
    <mergeCell ref="B7:C9"/>
    <mergeCell ref="D7:D9"/>
    <mergeCell ref="E7:F9"/>
    <mergeCell ref="G7:G9"/>
  </mergeCell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96"/>
  <sheetViews>
    <sheetView showGridLines="0" zoomScale="60" zoomScaleNormal="60" workbookViewId="0">
      <selection activeCell="J12" sqref="J12:J18"/>
    </sheetView>
  </sheetViews>
  <sheetFormatPr baseColWidth="10" defaultColWidth="11.42578125" defaultRowHeight="14.25" x14ac:dyDescent="0.2"/>
  <cols>
    <col min="1" max="1" width="12.7109375" style="1165" customWidth="1"/>
    <col min="2" max="2" width="4.7109375" style="1165" customWidth="1"/>
    <col min="3" max="3" width="16.28515625" style="1165" customWidth="1"/>
    <col min="4" max="4" width="13.140625" style="1165" customWidth="1"/>
    <col min="5" max="5" width="22.7109375" style="1165" customWidth="1"/>
    <col min="6" max="6" width="11.42578125" style="1165" hidden="1" customWidth="1"/>
    <col min="7" max="7" width="14" style="1165" customWidth="1"/>
    <col min="8" max="8" width="6.42578125" style="1165" customWidth="1"/>
    <col min="9" max="9" width="21" style="1165" customWidth="1"/>
    <col min="10" max="10" width="16" style="1165" customWidth="1"/>
    <col min="11" max="11" width="48.42578125" style="1165" customWidth="1"/>
    <col min="12" max="12" width="23.140625" style="1165" customWidth="1"/>
    <col min="13" max="13" width="28.85546875" style="1165" customWidth="1"/>
    <col min="14" max="14" width="34.7109375" style="1165" customWidth="1"/>
    <col min="15" max="15" width="21.5703125" style="1165" customWidth="1"/>
    <col min="16" max="16" width="27.85546875" style="1165" customWidth="1"/>
    <col min="17" max="17" width="18.5703125" style="1165" customWidth="1"/>
    <col min="18" max="18" width="28.7109375" style="1165" customWidth="1"/>
    <col min="19" max="19" width="29.5703125" style="1165" customWidth="1"/>
    <col min="20" max="20" width="49" style="2360" customWidth="1"/>
    <col min="21" max="21" width="77.85546875" style="1165" customWidth="1"/>
    <col min="22" max="22" width="29.85546875" style="1165" bestFit="1" customWidth="1"/>
    <col min="23" max="23" width="18.7109375" style="1165" customWidth="1"/>
    <col min="24" max="24" width="35" style="2361" customWidth="1"/>
    <col min="25" max="25" width="15.140625" style="1165" customWidth="1"/>
    <col min="26" max="40" width="15.28515625" style="1165" customWidth="1"/>
    <col min="41" max="41" width="11.42578125" style="1165" customWidth="1"/>
    <col min="42" max="42" width="22.5703125" style="1165" customWidth="1"/>
    <col min="43" max="43" width="22.42578125" style="1165" customWidth="1"/>
    <col min="44" max="56" width="14.85546875" style="1165" customWidth="1"/>
    <col min="57" max="16384" width="11.42578125" style="1165"/>
  </cols>
  <sheetData>
    <row r="1" spans="1:43" s="1498" customFormat="1" ht="15" customHeight="1" x14ac:dyDescent="0.25">
      <c r="A1" s="3043" t="s">
        <v>1857</v>
      </c>
      <c r="B1" s="3044"/>
      <c r="C1" s="3044"/>
      <c r="D1" s="3044"/>
      <c r="E1" s="3044"/>
      <c r="F1" s="3044"/>
      <c r="G1" s="3044"/>
      <c r="H1" s="3044"/>
      <c r="I1" s="3044"/>
      <c r="J1" s="3044"/>
      <c r="K1" s="3044"/>
      <c r="L1" s="3044"/>
      <c r="M1" s="3044"/>
      <c r="N1" s="3044"/>
      <c r="O1" s="3044"/>
      <c r="P1" s="3044"/>
      <c r="Q1" s="3044"/>
      <c r="R1" s="3044"/>
      <c r="S1" s="3044"/>
      <c r="T1" s="3044"/>
      <c r="U1" s="3044"/>
      <c r="V1" s="3044"/>
      <c r="W1" s="3044"/>
      <c r="X1" s="3044"/>
      <c r="Y1" s="3044"/>
      <c r="Z1" s="3044"/>
      <c r="AA1" s="3044"/>
      <c r="AB1" s="3044"/>
      <c r="AC1" s="3044"/>
      <c r="AD1" s="3044"/>
      <c r="AE1" s="3044"/>
      <c r="AF1" s="3044"/>
      <c r="AG1" s="3044"/>
      <c r="AH1" s="3044"/>
      <c r="AI1" s="3044"/>
      <c r="AJ1" s="3044"/>
      <c r="AK1" s="3044"/>
      <c r="AL1" s="3044"/>
      <c r="AM1" s="3044"/>
      <c r="AN1" s="3044"/>
      <c r="AO1" s="3044"/>
      <c r="AP1" s="2133" t="s">
        <v>1</v>
      </c>
      <c r="AQ1" s="2134" t="s">
        <v>2</v>
      </c>
    </row>
    <row r="2" spans="1:43" s="1498" customFormat="1" ht="20.25" customHeight="1" x14ac:dyDescent="0.25">
      <c r="A2" s="3045"/>
      <c r="B2" s="3532"/>
      <c r="C2" s="3532"/>
      <c r="D2" s="3532"/>
      <c r="E2" s="3532"/>
      <c r="F2" s="3532"/>
      <c r="G2" s="3532"/>
      <c r="H2" s="3532"/>
      <c r="I2" s="3532"/>
      <c r="J2" s="3532"/>
      <c r="K2" s="3532"/>
      <c r="L2" s="3532"/>
      <c r="M2" s="3532"/>
      <c r="N2" s="3532"/>
      <c r="O2" s="3532"/>
      <c r="P2" s="3532"/>
      <c r="Q2" s="3532"/>
      <c r="R2" s="3532"/>
      <c r="S2" s="3532"/>
      <c r="T2" s="3532"/>
      <c r="U2" s="3532"/>
      <c r="V2" s="3532"/>
      <c r="W2" s="3532"/>
      <c r="X2" s="3532"/>
      <c r="Y2" s="3532"/>
      <c r="Z2" s="3532"/>
      <c r="AA2" s="3532"/>
      <c r="AB2" s="3532"/>
      <c r="AC2" s="3532"/>
      <c r="AD2" s="3532"/>
      <c r="AE2" s="3532"/>
      <c r="AF2" s="3532"/>
      <c r="AG2" s="3532"/>
      <c r="AH2" s="3532"/>
      <c r="AI2" s="3532"/>
      <c r="AJ2" s="3532"/>
      <c r="AK2" s="3532"/>
      <c r="AL2" s="3532"/>
      <c r="AM2" s="3532"/>
      <c r="AN2" s="3532"/>
      <c r="AO2" s="3532"/>
      <c r="AP2" s="2135" t="s">
        <v>3</v>
      </c>
      <c r="AQ2" s="2136">
        <v>6</v>
      </c>
    </row>
    <row r="3" spans="1:43" s="1498" customFormat="1" ht="15.75" customHeight="1" x14ac:dyDescent="0.25">
      <c r="A3" s="3045"/>
      <c r="B3" s="3532"/>
      <c r="C3" s="3532"/>
      <c r="D3" s="3532"/>
      <c r="E3" s="3532"/>
      <c r="F3" s="3532"/>
      <c r="G3" s="3532"/>
      <c r="H3" s="3532"/>
      <c r="I3" s="3532"/>
      <c r="J3" s="3532"/>
      <c r="K3" s="3532"/>
      <c r="L3" s="3532"/>
      <c r="M3" s="3532"/>
      <c r="N3" s="3532"/>
      <c r="O3" s="3532"/>
      <c r="P3" s="3532"/>
      <c r="Q3" s="3532"/>
      <c r="R3" s="3532"/>
      <c r="S3" s="3532"/>
      <c r="T3" s="3532"/>
      <c r="U3" s="3532"/>
      <c r="V3" s="3532"/>
      <c r="W3" s="3532"/>
      <c r="X3" s="3532"/>
      <c r="Y3" s="3532"/>
      <c r="Z3" s="3532"/>
      <c r="AA3" s="3532"/>
      <c r="AB3" s="3532"/>
      <c r="AC3" s="3532"/>
      <c r="AD3" s="3532"/>
      <c r="AE3" s="3532"/>
      <c r="AF3" s="3532"/>
      <c r="AG3" s="3532"/>
      <c r="AH3" s="3532"/>
      <c r="AI3" s="3532"/>
      <c r="AJ3" s="3532"/>
      <c r="AK3" s="3532"/>
      <c r="AL3" s="3532"/>
      <c r="AM3" s="3532"/>
      <c r="AN3" s="3532"/>
      <c r="AO3" s="3532"/>
      <c r="AP3" s="2137" t="s">
        <v>5</v>
      </c>
      <c r="AQ3" s="2138" t="s">
        <v>6</v>
      </c>
    </row>
    <row r="4" spans="1:43" s="1940" customFormat="1" ht="15.75" customHeight="1" x14ac:dyDescent="0.2">
      <c r="A4" s="3047"/>
      <c r="B4" s="3048"/>
      <c r="C4" s="3048"/>
      <c r="D4" s="3048"/>
      <c r="E4" s="3048"/>
      <c r="F4" s="3048"/>
      <c r="G4" s="3048"/>
      <c r="H4" s="3048"/>
      <c r="I4" s="3048"/>
      <c r="J4" s="3048"/>
      <c r="K4" s="3048"/>
      <c r="L4" s="3048"/>
      <c r="M4" s="3048"/>
      <c r="N4" s="3048"/>
      <c r="O4" s="3048"/>
      <c r="P4" s="3048"/>
      <c r="Q4" s="3048"/>
      <c r="R4" s="3048"/>
      <c r="S4" s="3048"/>
      <c r="T4" s="3048"/>
      <c r="U4" s="3048"/>
      <c r="V4" s="3048"/>
      <c r="W4" s="3048"/>
      <c r="X4" s="3048"/>
      <c r="Y4" s="3048"/>
      <c r="Z4" s="3048"/>
      <c r="AA4" s="3048"/>
      <c r="AB4" s="3048"/>
      <c r="AC4" s="3048"/>
      <c r="AD4" s="3048"/>
      <c r="AE4" s="3048"/>
      <c r="AF4" s="3048"/>
      <c r="AG4" s="3048"/>
      <c r="AH4" s="3048"/>
      <c r="AI4" s="3048"/>
      <c r="AJ4" s="3048"/>
      <c r="AK4" s="3048"/>
      <c r="AL4" s="3048"/>
      <c r="AM4" s="3048"/>
      <c r="AN4" s="3048"/>
      <c r="AO4" s="3048"/>
      <c r="AP4" s="1211" t="s">
        <v>7</v>
      </c>
      <c r="AQ4" s="2139" t="s">
        <v>329</v>
      </c>
    </row>
    <row r="5" spans="1:43" s="1498" customFormat="1" ht="31.5" customHeight="1" x14ac:dyDescent="0.2">
      <c r="A5" s="3049" t="s">
        <v>9</v>
      </c>
      <c r="B5" s="3050"/>
      <c r="C5" s="3050"/>
      <c r="D5" s="3050"/>
      <c r="E5" s="3050"/>
      <c r="F5" s="3050"/>
      <c r="G5" s="3050"/>
      <c r="H5" s="3050"/>
      <c r="I5" s="3050"/>
      <c r="J5" s="3050"/>
      <c r="K5" s="3050"/>
      <c r="L5" s="3050"/>
      <c r="M5" s="3050"/>
      <c r="N5" s="3050"/>
      <c r="O5" s="4249"/>
      <c r="P5" s="3669" t="s">
        <v>10</v>
      </c>
      <c r="Q5" s="3050"/>
      <c r="R5" s="3050"/>
      <c r="S5" s="3050"/>
      <c r="T5" s="3050"/>
      <c r="U5" s="3050"/>
      <c r="V5" s="3050"/>
      <c r="W5" s="3050"/>
      <c r="X5" s="3050"/>
      <c r="Y5" s="3050"/>
      <c r="Z5" s="3050"/>
      <c r="AA5" s="3050"/>
      <c r="AB5" s="3050"/>
      <c r="AC5" s="3050"/>
      <c r="AD5" s="3050"/>
      <c r="AE5" s="3050"/>
      <c r="AF5" s="3050"/>
      <c r="AG5" s="3050"/>
      <c r="AH5" s="3050"/>
      <c r="AI5" s="3050"/>
      <c r="AJ5" s="3050"/>
      <c r="AK5" s="3050"/>
      <c r="AL5" s="3050"/>
      <c r="AM5" s="3050"/>
      <c r="AN5" s="3050"/>
      <c r="AO5" s="3050"/>
      <c r="AP5" s="3050"/>
      <c r="AQ5" s="4250"/>
    </row>
    <row r="6" spans="1:43" s="1498" customFormat="1" ht="30.75" customHeight="1" x14ac:dyDescent="0.2">
      <c r="A6" s="3051"/>
      <c r="B6" s="3052"/>
      <c r="C6" s="3052"/>
      <c r="D6" s="3052"/>
      <c r="E6" s="3052"/>
      <c r="F6" s="3052"/>
      <c r="G6" s="3052"/>
      <c r="H6" s="3052"/>
      <c r="I6" s="3052"/>
      <c r="J6" s="3052"/>
      <c r="K6" s="3052"/>
      <c r="L6" s="3052"/>
      <c r="M6" s="3052"/>
      <c r="N6" s="3052"/>
      <c r="O6" s="3056"/>
      <c r="P6" s="4251"/>
      <c r="Q6" s="4252"/>
      <c r="R6" s="4252"/>
      <c r="S6" s="4252"/>
      <c r="T6" s="4252"/>
      <c r="U6" s="4252"/>
      <c r="V6" s="4252"/>
      <c r="W6" s="4252"/>
      <c r="X6" s="4252"/>
      <c r="Y6" s="4252"/>
      <c r="Z6" s="4252"/>
      <c r="AA6" s="4252"/>
      <c r="AB6" s="4252"/>
      <c r="AC6" s="4252"/>
      <c r="AD6" s="4252"/>
      <c r="AE6" s="4252"/>
      <c r="AF6" s="4252"/>
      <c r="AG6" s="4252"/>
      <c r="AH6" s="4252"/>
      <c r="AI6" s="4252"/>
      <c r="AJ6" s="4252"/>
      <c r="AK6" s="4252"/>
      <c r="AL6" s="4252"/>
      <c r="AM6" s="4252"/>
      <c r="AN6" s="4252"/>
      <c r="AO6" s="4252"/>
      <c r="AP6" s="4252"/>
      <c r="AQ6" s="4253"/>
    </row>
    <row r="7" spans="1:43" s="2140" customFormat="1" ht="48.75" customHeight="1" x14ac:dyDescent="0.25">
      <c r="A7" s="3546" t="s">
        <v>12</v>
      </c>
      <c r="B7" s="3546" t="s">
        <v>13</v>
      </c>
      <c r="C7" s="3546"/>
      <c r="D7" s="3546" t="s">
        <v>12</v>
      </c>
      <c r="E7" s="3546" t="s">
        <v>14</v>
      </c>
      <c r="F7" s="3546"/>
      <c r="G7" s="3546" t="s">
        <v>12</v>
      </c>
      <c r="H7" s="3546" t="s">
        <v>15</v>
      </c>
      <c r="I7" s="3546"/>
      <c r="J7" s="3546" t="s">
        <v>12</v>
      </c>
      <c r="K7" s="3546" t="s">
        <v>16</v>
      </c>
      <c r="L7" s="3546" t="s">
        <v>17</v>
      </c>
      <c r="M7" s="4245" t="s">
        <v>18</v>
      </c>
      <c r="N7" s="3546" t="s">
        <v>19</v>
      </c>
      <c r="O7" s="4247" t="s">
        <v>741</v>
      </c>
      <c r="P7" s="3546" t="s">
        <v>10</v>
      </c>
      <c r="Q7" s="3546" t="s">
        <v>21</v>
      </c>
      <c r="R7" s="3546" t="s">
        <v>22</v>
      </c>
      <c r="S7" s="3546" t="s">
        <v>23</v>
      </c>
      <c r="T7" s="3546" t="s">
        <v>24</v>
      </c>
      <c r="U7" s="3550" t="s">
        <v>25</v>
      </c>
      <c r="V7" s="4245" t="s">
        <v>22</v>
      </c>
      <c r="W7" s="4247" t="s">
        <v>12</v>
      </c>
      <c r="X7" s="3546" t="s">
        <v>26</v>
      </c>
      <c r="Y7" s="4268" t="s">
        <v>27</v>
      </c>
      <c r="Z7" s="3759"/>
      <c r="AA7" s="3760" t="s">
        <v>28</v>
      </c>
      <c r="AB7" s="3761"/>
      <c r="AC7" s="3761"/>
      <c r="AD7" s="3761"/>
      <c r="AE7" s="3762" t="s">
        <v>29</v>
      </c>
      <c r="AF7" s="3763"/>
      <c r="AG7" s="3763"/>
      <c r="AH7" s="3763"/>
      <c r="AI7" s="3763"/>
      <c r="AJ7" s="3763"/>
      <c r="AK7" s="3760" t="s">
        <v>30</v>
      </c>
      <c r="AL7" s="3761"/>
      <c r="AM7" s="3761"/>
      <c r="AN7" s="4254" t="s">
        <v>31</v>
      </c>
      <c r="AO7" s="4256" t="s">
        <v>32</v>
      </c>
      <c r="AP7" s="4256" t="s">
        <v>33</v>
      </c>
      <c r="AQ7" s="4258" t="s">
        <v>34</v>
      </c>
    </row>
    <row r="8" spans="1:43" s="2140" customFormat="1" ht="159" customHeight="1" x14ac:dyDescent="0.25">
      <c r="A8" s="3546"/>
      <c r="B8" s="3546"/>
      <c r="C8" s="3546"/>
      <c r="D8" s="3546"/>
      <c r="E8" s="3546"/>
      <c r="F8" s="3546"/>
      <c r="G8" s="3546"/>
      <c r="H8" s="3546"/>
      <c r="I8" s="3546"/>
      <c r="J8" s="3546"/>
      <c r="K8" s="3546"/>
      <c r="L8" s="3546"/>
      <c r="M8" s="4246"/>
      <c r="N8" s="3546"/>
      <c r="O8" s="4248"/>
      <c r="P8" s="3546"/>
      <c r="Q8" s="3546"/>
      <c r="R8" s="3546"/>
      <c r="S8" s="3546"/>
      <c r="T8" s="3546"/>
      <c r="U8" s="3551"/>
      <c r="V8" s="4269"/>
      <c r="W8" s="4248"/>
      <c r="X8" s="3546"/>
      <c r="Y8" s="2141" t="s">
        <v>35</v>
      </c>
      <c r="Z8" s="2141" t="s">
        <v>36</v>
      </c>
      <c r="AA8" s="2141" t="s">
        <v>37</v>
      </c>
      <c r="AB8" s="2141" t="s">
        <v>125</v>
      </c>
      <c r="AC8" s="2141" t="s">
        <v>432</v>
      </c>
      <c r="AD8" s="2141" t="s">
        <v>127</v>
      </c>
      <c r="AE8" s="2141" t="s">
        <v>41</v>
      </c>
      <c r="AF8" s="2141" t="s">
        <v>42</v>
      </c>
      <c r="AG8" s="2141" t="s">
        <v>43</v>
      </c>
      <c r="AH8" s="2141" t="s">
        <v>44</v>
      </c>
      <c r="AI8" s="2141" t="s">
        <v>45</v>
      </c>
      <c r="AJ8" s="2141" t="s">
        <v>46</v>
      </c>
      <c r="AK8" s="2141" t="s">
        <v>47</v>
      </c>
      <c r="AL8" s="2141" t="s">
        <v>48</v>
      </c>
      <c r="AM8" s="2141" t="s">
        <v>49</v>
      </c>
      <c r="AN8" s="4255"/>
      <c r="AO8" s="4257"/>
      <c r="AP8" s="4257"/>
      <c r="AQ8" s="4258"/>
    </row>
    <row r="9" spans="1:43" s="2151" customFormat="1" ht="15.75" x14ac:dyDescent="0.2">
      <c r="A9" s="2142">
        <v>3</v>
      </c>
      <c r="B9" s="2143" t="s">
        <v>1858</v>
      </c>
      <c r="C9" s="2143"/>
      <c r="D9" s="2143"/>
      <c r="E9" s="2143"/>
      <c r="F9" s="2143"/>
      <c r="G9" s="2143"/>
      <c r="H9" s="2143"/>
      <c r="I9" s="2143"/>
      <c r="J9" s="2143"/>
      <c r="K9" s="2144"/>
      <c r="L9" s="2143"/>
      <c r="M9" s="2145"/>
      <c r="N9" s="2146"/>
      <c r="O9" s="2143"/>
      <c r="P9" s="2144"/>
      <c r="Q9" s="2143"/>
      <c r="R9" s="2146"/>
      <c r="S9" s="2143"/>
      <c r="T9" s="2144"/>
      <c r="U9" s="2144"/>
      <c r="V9" s="2145"/>
      <c r="W9" s="2146"/>
      <c r="X9" s="2146"/>
      <c r="Y9" s="2147"/>
      <c r="Z9" s="2147"/>
      <c r="AA9" s="2148"/>
      <c r="AB9" s="2147"/>
      <c r="AC9" s="2147"/>
      <c r="AD9" s="2147"/>
      <c r="AE9" s="2147"/>
      <c r="AF9" s="2149"/>
      <c r="AG9" s="2147"/>
      <c r="AH9" s="2148"/>
      <c r="AI9" s="2147"/>
      <c r="AJ9" s="2147"/>
      <c r="AK9" s="2148"/>
      <c r="AL9" s="2148"/>
      <c r="AM9" s="2148"/>
      <c r="AN9" s="2148"/>
      <c r="AO9" s="2143"/>
      <c r="AP9" s="2143"/>
      <c r="AQ9" s="2150"/>
    </row>
    <row r="10" spans="1:43" ht="15.75" x14ac:dyDescent="0.2">
      <c r="A10" s="1230"/>
      <c r="B10" s="1231"/>
      <c r="C10" s="1232"/>
      <c r="D10" s="2152">
        <v>11</v>
      </c>
      <c r="E10" s="2153" t="s">
        <v>300</v>
      </c>
      <c r="F10" s="2153"/>
      <c r="G10" s="2154"/>
      <c r="H10" s="1183"/>
      <c r="I10" s="1183"/>
      <c r="J10" s="1183"/>
      <c r="K10" s="1183"/>
      <c r="L10" s="1183"/>
      <c r="M10" s="2155"/>
      <c r="N10" s="1183"/>
      <c r="O10" s="1183"/>
      <c r="P10" s="1183"/>
      <c r="Q10" s="1183"/>
      <c r="R10" s="1183"/>
      <c r="S10" s="1183"/>
      <c r="T10" s="2156"/>
      <c r="U10" s="1183"/>
      <c r="V10" s="1183"/>
      <c r="W10" s="1183"/>
      <c r="X10" s="2157"/>
      <c r="Y10" s="1183"/>
      <c r="Z10" s="1183"/>
      <c r="AA10" s="1183"/>
      <c r="AB10" s="1183"/>
      <c r="AC10" s="1183"/>
      <c r="AD10" s="1183"/>
      <c r="AE10" s="1183"/>
      <c r="AF10" s="1183"/>
      <c r="AG10" s="1183"/>
      <c r="AH10" s="1183"/>
      <c r="AI10" s="1183"/>
      <c r="AJ10" s="1183"/>
      <c r="AK10" s="1183"/>
      <c r="AL10" s="1183"/>
      <c r="AM10" s="1183"/>
      <c r="AN10" s="1183"/>
      <c r="AO10" s="1183"/>
      <c r="AP10" s="1183"/>
      <c r="AQ10" s="1185"/>
    </row>
    <row r="11" spans="1:43" ht="15.75" x14ac:dyDescent="0.2">
      <c r="A11" s="1243"/>
      <c r="B11" s="2158"/>
      <c r="C11" s="1245"/>
      <c r="D11" s="1231"/>
      <c r="E11" s="1232"/>
      <c r="F11" s="207"/>
      <c r="G11" s="2159">
        <v>35</v>
      </c>
      <c r="H11" s="2160" t="s">
        <v>1859</v>
      </c>
      <c r="I11" s="1188"/>
      <c r="J11" s="1189"/>
      <c r="K11" s="1189"/>
      <c r="L11" s="1189"/>
      <c r="M11" s="2161"/>
      <c r="N11" s="1189"/>
      <c r="O11" s="1189"/>
      <c r="P11" s="1189"/>
      <c r="Q11" s="1189"/>
      <c r="R11" s="1189"/>
      <c r="S11" s="1189"/>
      <c r="T11" s="2162"/>
      <c r="U11" s="1189"/>
      <c r="V11" s="1189"/>
      <c r="W11" s="1189"/>
      <c r="X11" s="2163"/>
      <c r="Y11" s="1189"/>
      <c r="Z11" s="1189"/>
      <c r="AA11" s="1189"/>
      <c r="AB11" s="1189"/>
      <c r="AC11" s="1189"/>
      <c r="AD11" s="1189"/>
      <c r="AE11" s="1189"/>
      <c r="AF11" s="1189"/>
      <c r="AG11" s="1189"/>
      <c r="AH11" s="1189"/>
      <c r="AI11" s="1189"/>
      <c r="AJ11" s="1189"/>
      <c r="AK11" s="1189"/>
      <c r="AL11" s="1189"/>
      <c r="AM11" s="1189"/>
      <c r="AN11" s="1189"/>
      <c r="AO11" s="1189"/>
      <c r="AP11" s="1189"/>
      <c r="AQ11" s="1188"/>
    </row>
    <row r="12" spans="1:43" ht="60" customHeight="1" x14ac:dyDescent="0.2">
      <c r="A12" s="2164"/>
      <c r="B12" s="2165"/>
      <c r="C12" s="2166"/>
      <c r="D12" s="2167"/>
      <c r="E12" s="2167"/>
      <c r="F12" s="2166"/>
      <c r="G12" s="2168"/>
      <c r="H12" s="2169"/>
      <c r="I12" s="2170"/>
      <c r="J12" s="4259">
        <v>127</v>
      </c>
      <c r="K12" s="4262" t="s">
        <v>1860</v>
      </c>
      <c r="L12" s="4265" t="s">
        <v>1861</v>
      </c>
      <c r="M12" s="3610">
        <v>1</v>
      </c>
      <c r="N12" s="4265" t="s">
        <v>1862</v>
      </c>
      <c r="O12" s="4265" t="s">
        <v>1863</v>
      </c>
      <c r="P12" s="4262" t="s">
        <v>1864</v>
      </c>
      <c r="Q12" s="4276">
        <f>+(V12+V13+V14+V15+V16+V17+V18)/$R$12</f>
        <v>0.22222222222222221</v>
      </c>
      <c r="R12" s="4279">
        <v>126000000</v>
      </c>
      <c r="S12" s="4282" t="s">
        <v>1865</v>
      </c>
      <c r="T12" s="4262" t="s">
        <v>1866</v>
      </c>
      <c r="U12" s="2171" t="s">
        <v>1867</v>
      </c>
      <c r="V12" s="2172">
        <v>4000000</v>
      </c>
      <c r="W12" s="2173">
        <v>61</v>
      </c>
      <c r="X12" s="2174" t="s">
        <v>1868</v>
      </c>
      <c r="Y12" s="4270" t="s">
        <v>1869</v>
      </c>
      <c r="Z12" s="4270" t="s">
        <v>1869</v>
      </c>
      <c r="AA12" s="4270">
        <v>64149</v>
      </c>
      <c r="AB12" s="4273" t="s">
        <v>1869</v>
      </c>
      <c r="AC12" s="4270" t="s">
        <v>1869</v>
      </c>
      <c r="AD12" s="4270" t="s">
        <v>1869</v>
      </c>
      <c r="AE12" s="4270" t="s">
        <v>1869</v>
      </c>
      <c r="AF12" s="4270" t="s">
        <v>1869</v>
      </c>
      <c r="AG12" s="4270" t="s">
        <v>1869</v>
      </c>
      <c r="AH12" s="4270" t="s">
        <v>1869</v>
      </c>
      <c r="AI12" s="4270" t="s">
        <v>1869</v>
      </c>
      <c r="AJ12" s="4270" t="s">
        <v>1869</v>
      </c>
      <c r="AK12" s="4270" t="s">
        <v>1869</v>
      </c>
      <c r="AL12" s="4270" t="s">
        <v>1869</v>
      </c>
      <c r="AM12" s="4270" t="s">
        <v>1869</v>
      </c>
      <c r="AN12" s="4270" t="s">
        <v>1869</v>
      </c>
      <c r="AO12" s="4285">
        <v>43466</v>
      </c>
      <c r="AP12" s="4285">
        <v>43830</v>
      </c>
      <c r="AQ12" s="4288" t="s">
        <v>1870</v>
      </c>
    </row>
    <row r="13" spans="1:43" ht="87" customHeight="1" x14ac:dyDescent="0.2">
      <c r="A13" s="2164"/>
      <c r="B13" s="2165"/>
      <c r="C13" s="2166"/>
      <c r="D13" s="2167"/>
      <c r="E13" s="2167"/>
      <c r="F13" s="2166"/>
      <c r="G13" s="2164"/>
      <c r="H13" s="2167"/>
      <c r="I13" s="2166"/>
      <c r="J13" s="4260"/>
      <c r="K13" s="4263"/>
      <c r="L13" s="4266"/>
      <c r="M13" s="3611"/>
      <c r="N13" s="4266"/>
      <c r="O13" s="4266"/>
      <c r="P13" s="4263"/>
      <c r="Q13" s="4277"/>
      <c r="R13" s="4280"/>
      <c r="S13" s="4283"/>
      <c r="T13" s="4263"/>
      <c r="U13" s="2171" t="s">
        <v>1871</v>
      </c>
      <c r="V13" s="2172">
        <v>4000000</v>
      </c>
      <c r="W13" s="2173">
        <v>61</v>
      </c>
      <c r="X13" s="2174" t="s">
        <v>1868</v>
      </c>
      <c r="Y13" s="4271"/>
      <c r="Z13" s="4271"/>
      <c r="AA13" s="4271"/>
      <c r="AB13" s="4274"/>
      <c r="AC13" s="4271"/>
      <c r="AD13" s="4271"/>
      <c r="AE13" s="4271"/>
      <c r="AF13" s="4271"/>
      <c r="AG13" s="4271"/>
      <c r="AH13" s="4271"/>
      <c r="AI13" s="4271"/>
      <c r="AJ13" s="4271"/>
      <c r="AK13" s="4271"/>
      <c r="AL13" s="4271"/>
      <c r="AM13" s="4271"/>
      <c r="AN13" s="4271"/>
      <c r="AO13" s="4286"/>
      <c r="AP13" s="4286"/>
      <c r="AQ13" s="4289"/>
    </row>
    <row r="14" spans="1:43" ht="48" customHeight="1" x14ac:dyDescent="0.2">
      <c r="A14" s="2164"/>
      <c r="B14" s="2165"/>
      <c r="C14" s="2166"/>
      <c r="D14" s="2167"/>
      <c r="E14" s="2167"/>
      <c r="F14" s="2166"/>
      <c r="G14" s="2164"/>
      <c r="H14" s="2167"/>
      <c r="I14" s="2166"/>
      <c r="J14" s="4260"/>
      <c r="K14" s="4263"/>
      <c r="L14" s="4266"/>
      <c r="M14" s="3611"/>
      <c r="N14" s="4266"/>
      <c r="O14" s="4266"/>
      <c r="P14" s="4263"/>
      <c r="Q14" s="4277"/>
      <c r="R14" s="4280"/>
      <c r="S14" s="4283"/>
      <c r="T14" s="4263"/>
      <c r="U14" s="2171" t="s">
        <v>1872</v>
      </c>
      <c r="V14" s="2172">
        <v>4000000</v>
      </c>
      <c r="W14" s="2173">
        <v>61</v>
      </c>
      <c r="X14" s="2174" t="s">
        <v>1868</v>
      </c>
      <c r="Y14" s="4271"/>
      <c r="Z14" s="4271"/>
      <c r="AA14" s="4271"/>
      <c r="AB14" s="4274"/>
      <c r="AC14" s="4271"/>
      <c r="AD14" s="4271"/>
      <c r="AE14" s="4271"/>
      <c r="AF14" s="4271"/>
      <c r="AG14" s="4271"/>
      <c r="AH14" s="4271"/>
      <c r="AI14" s="4271"/>
      <c r="AJ14" s="4271"/>
      <c r="AK14" s="4271"/>
      <c r="AL14" s="4271"/>
      <c r="AM14" s="4271"/>
      <c r="AN14" s="4271"/>
      <c r="AO14" s="4286"/>
      <c r="AP14" s="4286"/>
      <c r="AQ14" s="4289"/>
    </row>
    <row r="15" spans="1:43" ht="45" customHeight="1" x14ac:dyDescent="0.2">
      <c r="A15" s="2164"/>
      <c r="B15" s="2165"/>
      <c r="C15" s="2166"/>
      <c r="D15" s="2167"/>
      <c r="E15" s="2167"/>
      <c r="F15" s="2166"/>
      <c r="G15" s="2164"/>
      <c r="H15" s="2167"/>
      <c r="I15" s="2166"/>
      <c r="J15" s="4260"/>
      <c r="K15" s="4263"/>
      <c r="L15" s="4266"/>
      <c r="M15" s="3611"/>
      <c r="N15" s="4266"/>
      <c r="O15" s="4266"/>
      <c r="P15" s="4263"/>
      <c r="Q15" s="4277"/>
      <c r="R15" s="4280"/>
      <c r="S15" s="4283"/>
      <c r="T15" s="4263"/>
      <c r="U15" s="2171" t="s">
        <v>1873</v>
      </c>
      <c r="V15" s="2172">
        <v>1000000</v>
      </c>
      <c r="W15" s="2173">
        <v>61</v>
      </c>
      <c r="X15" s="2174" t="s">
        <v>1868</v>
      </c>
      <c r="Y15" s="4271"/>
      <c r="Z15" s="4271"/>
      <c r="AA15" s="4271"/>
      <c r="AB15" s="4274"/>
      <c r="AC15" s="4271"/>
      <c r="AD15" s="4271"/>
      <c r="AE15" s="4271"/>
      <c r="AF15" s="4271"/>
      <c r="AG15" s="4271"/>
      <c r="AH15" s="4271"/>
      <c r="AI15" s="4271"/>
      <c r="AJ15" s="4271"/>
      <c r="AK15" s="4271"/>
      <c r="AL15" s="4271"/>
      <c r="AM15" s="4271"/>
      <c r="AN15" s="4271"/>
      <c r="AO15" s="4286"/>
      <c r="AP15" s="4286"/>
      <c r="AQ15" s="4289"/>
    </row>
    <row r="16" spans="1:43" ht="60" customHeight="1" x14ac:dyDescent="0.2">
      <c r="A16" s="2164"/>
      <c r="B16" s="2165"/>
      <c r="C16" s="2166"/>
      <c r="D16" s="2167"/>
      <c r="E16" s="2167"/>
      <c r="F16" s="2166"/>
      <c r="G16" s="2164"/>
      <c r="H16" s="2167"/>
      <c r="I16" s="2166"/>
      <c r="J16" s="4260"/>
      <c r="K16" s="4263"/>
      <c r="L16" s="4266"/>
      <c r="M16" s="3611"/>
      <c r="N16" s="4266"/>
      <c r="O16" s="4266"/>
      <c r="P16" s="4263"/>
      <c r="Q16" s="4277"/>
      <c r="R16" s="4280"/>
      <c r="S16" s="4283"/>
      <c r="T16" s="4263"/>
      <c r="U16" s="2171" t="s">
        <v>1874</v>
      </c>
      <c r="V16" s="2172">
        <v>4000000</v>
      </c>
      <c r="W16" s="2173">
        <v>61</v>
      </c>
      <c r="X16" s="2174" t="s">
        <v>1868</v>
      </c>
      <c r="Y16" s="4271"/>
      <c r="Z16" s="4271"/>
      <c r="AA16" s="4271"/>
      <c r="AB16" s="4274"/>
      <c r="AC16" s="4271"/>
      <c r="AD16" s="4271"/>
      <c r="AE16" s="4271"/>
      <c r="AF16" s="4271"/>
      <c r="AG16" s="4271"/>
      <c r="AH16" s="4271"/>
      <c r="AI16" s="4271"/>
      <c r="AJ16" s="4271"/>
      <c r="AK16" s="4271"/>
      <c r="AL16" s="4271"/>
      <c r="AM16" s="4271"/>
      <c r="AN16" s="4271"/>
      <c r="AO16" s="4286"/>
      <c r="AP16" s="4286"/>
      <c r="AQ16" s="4289"/>
    </row>
    <row r="17" spans="1:43" ht="45" x14ac:dyDescent="0.2">
      <c r="A17" s="2164"/>
      <c r="B17" s="2165"/>
      <c r="C17" s="2166"/>
      <c r="D17" s="2167"/>
      <c r="E17" s="2167"/>
      <c r="F17" s="2166"/>
      <c r="G17" s="2164"/>
      <c r="H17" s="2167"/>
      <c r="I17" s="2166"/>
      <c r="J17" s="4260"/>
      <c r="K17" s="4263"/>
      <c r="L17" s="4266"/>
      <c r="M17" s="3611"/>
      <c r="N17" s="4266"/>
      <c r="O17" s="4266"/>
      <c r="P17" s="4263"/>
      <c r="Q17" s="4277"/>
      <c r="R17" s="4280"/>
      <c r="S17" s="4283"/>
      <c r="T17" s="4263"/>
      <c r="U17" s="2171" t="s">
        <v>1875</v>
      </c>
      <c r="V17" s="2172">
        <v>7000000</v>
      </c>
      <c r="W17" s="2173">
        <v>61</v>
      </c>
      <c r="X17" s="2174" t="s">
        <v>1868</v>
      </c>
      <c r="Y17" s="4271"/>
      <c r="Z17" s="4271"/>
      <c r="AA17" s="4271"/>
      <c r="AB17" s="4274"/>
      <c r="AC17" s="4271"/>
      <c r="AD17" s="4271"/>
      <c r="AE17" s="4271"/>
      <c r="AF17" s="4271"/>
      <c r="AG17" s="4271"/>
      <c r="AH17" s="4271"/>
      <c r="AI17" s="4271"/>
      <c r="AJ17" s="4271"/>
      <c r="AK17" s="4271"/>
      <c r="AL17" s="4271"/>
      <c r="AM17" s="4271"/>
      <c r="AN17" s="4271"/>
      <c r="AO17" s="4286"/>
      <c r="AP17" s="4286"/>
      <c r="AQ17" s="4289"/>
    </row>
    <row r="18" spans="1:43" ht="45" customHeight="1" x14ac:dyDescent="0.2">
      <c r="A18" s="2164"/>
      <c r="B18" s="2165"/>
      <c r="C18" s="2166"/>
      <c r="D18" s="2167"/>
      <c r="E18" s="2167"/>
      <c r="F18" s="2166"/>
      <c r="G18" s="2164"/>
      <c r="H18" s="2167"/>
      <c r="I18" s="2166"/>
      <c r="J18" s="4261"/>
      <c r="K18" s="4264"/>
      <c r="L18" s="4267"/>
      <c r="M18" s="3612"/>
      <c r="N18" s="4266"/>
      <c r="O18" s="4266"/>
      <c r="P18" s="4263"/>
      <c r="Q18" s="4278"/>
      <c r="R18" s="4280"/>
      <c r="S18" s="4283"/>
      <c r="T18" s="4264"/>
      <c r="U18" s="2171" t="s">
        <v>1876</v>
      </c>
      <c r="V18" s="2172">
        <v>4000000</v>
      </c>
      <c r="W18" s="2173">
        <v>61</v>
      </c>
      <c r="X18" s="2174" t="s">
        <v>1868</v>
      </c>
      <c r="Y18" s="4271"/>
      <c r="Z18" s="4271"/>
      <c r="AA18" s="4271"/>
      <c r="AB18" s="4274"/>
      <c r="AC18" s="4271"/>
      <c r="AD18" s="4271"/>
      <c r="AE18" s="4271"/>
      <c r="AF18" s="4271"/>
      <c r="AG18" s="4271"/>
      <c r="AH18" s="4271"/>
      <c r="AI18" s="4271"/>
      <c r="AJ18" s="4271"/>
      <c r="AK18" s="4271"/>
      <c r="AL18" s="4271"/>
      <c r="AM18" s="4271"/>
      <c r="AN18" s="4271"/>
      <c r="AO18" s="4286"/>
      <c r="AP18" s="4286"/>
      <c r="AQ18" s="4289"/>
    </row>
    <row r="19" spans="1:43" ht="60" customHeight="1" x14ac:dyDescent="0.2">
      <c r="A19" s="2164"/>
      <c r="B19" s="2165"/>
      <c r="C19" s="2166"/>
      <c r="D19" s="2167"/>
      <c r="E19" s="2167"/>
      <c r="F19" s="2166"/>
      <c r="G19" s="2164"/>
      <c r="H19" s="2167"/>
      <c r="I19" s="2166"/>
      <c r="J19" s="4259">
        <v>128</v>
      </c>
      <c r="K19" s="4262" t="s">
        <v>1877</v>
      </c>
      <c r="L19" s="4265" t="s">
        <v>1861</v>
      </c>
      <c r="M19" s="3610">
        <v>1</v>
      </c>
      <c r="N19" s="4266"/>
      <c r="O19" s="4266"/>
      <c r="P19" s="4263"/>
      <c r="Q19" s="4276">
        <f>+(V19+V20+V21+V22+V23)/R12</f>
        <v>0.22222222222222221</v>
      </c>
      <c r="R19" s="4280"/>
      <c r="S19" s="4283"/>
      <c r="T19" s="4262" t="s">
        <v>1878</v>
      </c>
      <c r="U19" s="2171" t="s">
        <v>1879</v>
      </c>
      <c r="V19" s="2172">
        <v>5600000</v>
      </c>
      <c r="W19" s="2173">
        <v>61</v>
      </c>
      <c r="X19" s="2174" t="s">
        <v>1868</v>
      </c>
      <c r="Y19" s="4271"/>
      <c r="Z19" s="4271"/>
      <c r="AA19" s="4271"/>
      <c r="AB19" s="4274"/>
      <c r="AC19" s="4271"/>
      <c r="AD19" s="4271"/>
      <c r="AE19" s="4271"/>
      <c r="AF19" s="4271"/>
      <c r="AG19" s="4271"/>
      <c r="AH19" s="4271"/>
      <c r="AI19" s="4271"/>
      <c r="AJ19" s="4271"/>
      <c r="AK19" s="4271"/>
      <c r="AL19" s="4271"/>
      <c r="AM19" s="4271"/>
      <c r="AN19" s="4271"/>
      <c r="AO19" s="4286"/>
      <c r="AP19" s="4286"/>
      <c r="AQ19" s="4289"/>
    </row>
    <row r="20" spans="1:43" ht="60" customHeight="1" x14ac:dyDescent="0.2">
      <c r="A20" s="2164"/>
      <c r="B20" s="2165"/>
      <c r="C20" s="2166"/>
      <c r="D20" s="2167"/>
      <c r="E20" s="2167"/>
      <c r="F20" s="2166"/>
      <c r="G20" s="2164"/>
      <c r="H20" s="2167"/>
      <c r="I20" s="2166"/>
      <c r="J20" s="4260"/>
      <c r="K20" s="4263"/>
      <c r="L20" s="4266"/>
      <c r="M20" s="3611"/>
      <c r="N20" s="4266"/>
      <c r="O20" s="4266"/>
      <c r="P20" s="4263"/>
      <c r="Q20" s="4277"/>
      <c r="R20" s="4280"/>
      <c r="S20" s="4283"/>
      <c r="T20" s="4263"/>
      <c r="U20" s="2171" t="s">
        <v>1880</v>
      </c>
      <c r="V20" s="2172">
        <v>5600000</v>
      </c>
      <c r="W20" s="2173">
        <v>61</v>
      </c>
      <c r="X20" s="2174" t="s">
        <v>1868</v>
      </c>
      <c r="Y20" s="4271"/>
      <c r="Z20" s="4271"/>
      <c r="AA20" s="4271"/>
      <c r="AB20" s="4274"/>
      <c r="AC20" s="4271"/>
      <c r="AD20" s="4271"/>
      <c r="AE20" s="4271"/>
      <c r="AF20" s="4271"/>
      <c r="AG20" s="4271"/>
      <c r="AH20" s="4271"/>
      <c r="AI20" s="4271"/>
      <c r="AJ20" s="4271"/>
      <c r="AK20" s="4271"/>
      <c r="AL20" s="4271"/>
      <c r="AM20" s="4271"/>
      <c r="AN20" s="4271"/>
      <c r="AO20" s="4286"/>
      <c r="AP20" s="4286"/>
      <c r="AQ20" s="4289"/>
    </row>
    <row r="21" spans="1:43" ht="30" x14ac:dyDescent="0.2">
      <c r="A21" s="2164"/>
      <c r="B21" s="2165"/>
      <c r="C21" s="2166"/>
      <c r="D21" s="2167"/>
      <c r="E21" s="2167"/>
      <c r="F21" s="2166"/>
      <c r="G21" s="2164"/>
      <c r="H21" s="2167"/>
      <c r="I21" s="2166"/>
      <c r="J21" s="4260"/>
      <c r="K21" s="4263"/>
      <c r="L21" s="4266"/>
      <c r="M21" s="3611"/>
      <c r="N21" s="4266"/>
      <c r="O21" s="4266"/>
      <c r="P21" s="4263"/>
      <c r="Q21" s="4277"/>
      <c r="R21" s="4280"/>
      <c r="S21" s="4283"/>
      <c r="T21" s="4263"/>
      <c r="U21" s="2171" t="s">
        <v>1881</v>
      </c>
      <c r="V21" s="2172">
        <v>5600000</v>
      </c>
      <c r="W21" s="2173">
        <v>61</v>
      </c>
      <c r="X21" s="2174" t="s">
        <v>1868</v>
      </c>
      <c r="Y21" s="4271"/>
      <c r="Z21" s="4271"/>
      <c r="AA21" s="4271"/>
      <c r="AB21" s="4274"/>
      <c r="AC21" s="4271"/>
      <c r="AD21" s="4271"/>
      <c r="AE21" s="4271"/>
      <c r="AF21" s="4271"/>
      <c r="AG21" s="4271"/>
      <c r="AH21" s="4271"/>
      <c r="AI21" s="4271"/>
      <c r="AJ21" s="4271"/>
      <c r="AK21" s="4271"/>
      <c r="AL21" s="4271"/>
      <c r="AM21" s="4271"/>
      <c r="AN21" s="4271"/>
      <c r="AO21" s="4286"/>
      <c r="AP21" s="4286"/>
      <c r="AQ21" s="4289"/>
    </row>
    <row r="22" spans="1:43" ht="30" x14ac:dyDescent="0.2">
      <c r="A22" s="2164"/>
      <c r="B22" s="2165"/>
      <c r="C22" s="2166"/>
      <c r="D22" s="2167"/>
      <c r="E22" s="2167"/>
      <c r="F22" s="2166"/>
      <c r="G22" s="2164"/>
      <c r="H22" s="2167"/>
      <c r="I22" s="2166"/>
      <c r="J22" s="4260"/>
      <c r="K22" s="4263"/>
      <c r="L22" s="4266"/>
      <c r="M22" s="3611"/>
      <c r="N22" s="4266"/>
      <c r="O22" s="4266"/>
      <c r="P22" s="4263"/>
      <c r="Q22" s="4277"/>
      <c r="R22" s="4280"/>
      <c r="S22" s="4283"/>
      <c r="T22" s="4263"/>
      <c r="U22" s="2171" t="s">
        <v>1882</v>
      </c>
      <c r="V22" s="2172">
        <v>5600000</v>
      </c>
      <c r="W22" s="2173">
        <v>61</v>
      </c>
      <c r="X22" s="2174" t="s">
        <v>1868</v>
      </c>
      <c r="Y22" s="4271"/>
      <c r="Z22" s="4271"/>
      <c r="AA22" s="4271"/>
      <c r="AB22" s="4274"/>
      <c r="AC22" s="4271"/>
      <c r="AD22" s="4271"/>
      <c r="AE22" s="4271"/>
      <c r="AF22" s="4271"/>
      <c r="AG22" s="4271"/>
      <c r="AH22" s="4271"/>
      <c r="AI22" s="4271"/>
      <c r="AJ22" s="4271"/>
      <c r="AK22" s="4271"/>
      <c r="AL22" s="4271"/>
      <c r="AM22" s="4271"/>
      <c r="AN22" s="4271"/>
      <c r="AO22" s="4286"/>
      <c r="AP22" s="4286"/>
      <c r="AQ22" s="4289"/>
    </row>
    <row r="23" spans="1:43" ht="45" x14ac:dyDescent="0.2">
      <c r="A23" s="2164"/>
      <c r="B23" s="2165"/>
      <c r="C23" s="2166"/>
      <c r="D23" s="2167"/>
      <c r="E23" s="2167"/>
      <c r="F23" s="2166"/>
      <c r="G23" s="2164"/>
      <c r="H23" s="2167"/>
      <c r="I23" s="2166"/>
      <c r="J23" s="4260"/>
      <c r="K23" s="4263"/>
      <c r="L23" s="4266"/>
      <c r="M23" s="3612"/>
      <c r="N23" s="4266"/>
      <c r="O23" s="4266"/>
      <c r="P23" s="4263"/>
      <c r="Q23" s="4277"/>
      <c r="R23" s="4280"/>
      <c r="S23" s="4283"/>
      <c r="T23" s="4263"/>
      <c r="U23" s="2171" t="s">
        <v>1883</v>
      </c>
      <c r="V23" s="2172">
        <v>5600000</v>
      </c>
      <c r="W23" s="2173">
        <v>61</v>
      </c>
      <c r="X23" s="2174" t="s">
        <v>1868</v>
      </c>
      <c r="Y23" s="4271"/>
      <c r="Z23" s="4271"/>
      <c r="AA23" s="4271"/>
      <c r="AB23" s="4274"/>
      <c r="AC23" s="4271"/>
      <c r="AD23" s="4271"/>
      <c r="AE23" s="4271"/>
      <c r="AF23" s="4271"/>
      <c r="AG23" s="4271"/>
      <c r="AH23" s="4271"/>
      <c r="AI23" s="4271"/>
      <c r="AJ23" s="4271"/>
      <c r="AK23" s="4271"/>
      <c r="AL23" s="4271"/>
      <c r="AM23" s="4271"/>
      <c r="AN23" s="4271"/>
      <c r="AO23" s="4286"/>
      <c r="AP23" s="4286"/>
      <c r="AQ23" s="4289"/>
    </row>
    <row r="24" spans="1:43" ht="45" x14ac:dyDescent="0.2">
      <c r="A24" s="2164"/>
      <c r="B24" s="2165"/>
      <c r="C24" s="2166"/>
      <c r="D24" s="2167"/>
      <c r="E24" s="2167"/>
      <c r="F24" s="2166"/>
      <c r="G24" s="2164"/>
      <c r="H24" s="2167"/>
      <c r="I24" s="2166"/>
      <c r="J24" s="4291">
        <v>129</v>
      </c>
      <c r="K24" s="4262" t="s">
        <v>1884</v>
      </c>
      <c r="L24" s="4265" t="s">
        <v>1861</v>
      </c>
      <c r="M24" s="3610">
        <v>6</v>
      </c>
      <c r="N24" s="4266"/>
      <c r="O24" s="4266"/>
      <c r="P24" s="4263"/>
      <c r="Q24" s="4276">
        <f>+(V24+V25+V26+V27+V28+V29+V30)/R12</f>
        <v>0.55555555555555558</v>
      </c>
      <c r="R24" s="4280"/>
      <c r="S24" s="4283"/>
      <c r="T24" s="4262" t="s">
        <v>1885</v>
      </c>
      <c r="U24" s="2171" t="s">
        <v>1886</v>
      </c>
      <c r="V24" s="2172">
        <v>6000000</v>
      </c>
      <c r="W24" s="2173">
        <v>61</v>
      </c>
      <c r="X24" s="2174" t="s">
        <v>1868</v>
      </c>
      <c r="Y24" s="4271"/>
      <c r="Z24" s="4271"/>
      <c r="AA24" s="4271"/>
      <c r="AB24" s="4274"/>
      <c r="AC24" s="4271"/>
      <c r="AD24" s="4271"/>
      <c r="AE24" s="4271"/>
      <c r="AF24" s="4271"/>
      <c r="AG24" s="4271"/>
      <c r="AH24" s="4271"/>
      <c r="AI24" s="4271"/>
      <c r="AJ24" s="4271"/>
      <c r="AK24" s="4271"/>
      <c r="AL24" s="4271"/>
      <c r="AM24" s="4271"/>
      <c r="AN24" s="4271"/>
      <c r="AO24" s="4286"/>
      <c r="AP24" s="4286"/>
      <c r="AQ24" s="4289"/>
    </row>
    <row r="25" spans="1:43" ht="45" customHeight="1" x14ac:dyDescent="0.2">
      <c r="A25" s="2164"/>
      <c r="B25" s="2165"/>
      <c r="C25" s="2166"/>
      <c r="D25" s="2167"/>
      <c r="E25" s="2167"/>
      <c r="F25" s="2166"/>
      <c r="G25" s="2164"/>
      <c r="H25" s="2167"/>
      <c r="I25" s="2166"/>
      <c r="J25" s="4291"/>
      <c r="K25" s="4263"/>
      <c r="L25" s="4266"/>
      <c r="M25" s="3611"/>
      <c r="N25" s="4266"/>
      <c r="O25" s="4266"/>
      <c r="P25" s="4263"/>
      <c r="Q25" s="4277"/>
      <c r="R25" s="4280"/>
      <c r="S25" s="4283"/>
      <c r="T25" s="4263"/>
      <c r="U25" s="2171" t="s">
        <v>1887</v>
      </c>
      <c r="V25" s="2172">
        <v>6000000</v>
      </c>
      <c r="W25" s="2173">
        <v>61</v>
      </c>
      <c r="X25" s="2174" t="s">
        <v>1868</v>
      </c>
      <c r="Y25" s="4271"/>
      <c r="Z25" s="4271"/>
      <c r="AA25" s="4271"/>
      <c r="AB25" s="4274"/>
      <c r="AC25" s="4271"/>
      <c r="AD25" s="4271"/>
      <c r="AE25" s="4271"/>
      <c r="AF25" s="4271"/>
      <c r="AG25" s="4271"/>
      <c r="AH25" s="4271"/>
      <c r="AI25" s="4271"/>
      <c r="AJ25" s="4271"/>
      <c r="AK25" s="4271"/>
      <c r="AL25" s="4271"/>
      <c r="AM25" s="4271"/>
      <c r="AN25" s="4271"/>
      <c r="AO25" s="4286"/>
      <c r="AP25" s="4286"/>
      <c r="AQ25" s="4289"/>
    </row>
    <row r="26" spans="1:43" ht="45" x14ac:dyDescent="0.2">
      <c r="A26" s="2164"/>
      <c r="B26" s="2165"/>
      <c r="C26" s="2166"/>
      <c r="D26" s="2167"/>
      <c r="E26" s="2167"/>
      <c r="F26" s="2166"/>
      <c r="G26" s="2164"/>
      <c r="H26" s="2167"/>
      <c r="I26" s="2166"/>
      <c r="J26" s="4291"/>
      <c r="K26" s="4263"/>
      <c r="L26" s="4266"/>
      <c r="M26" s="3611"/>
      <c r="N26" s="4266"/>
      <c r="O26" s="4266"/>
      <c r="P26" s="4263"/>
      <c r="Q26" s="4277"/>
      <c r="R26" s="4280"/>
      <c r="S26" s="4283"/>
      <c r="T26" s="4263"/>
      <c r="U26" s="2171" t="s">
        <v>1888</v>
      </c>
      <c r="V26" s="2172">
        <v>6000000</v>
      </c>
      <c r="W26" s="2173">
        <v>61</v>
      </c>
      <c r="X26" s="2174" t="s">
        <v>1868</v>
      </c>
      <c r="Y26" s="4271"/>
      <c r="Z26" s="4271"/>
      <c r="AA26" s="4271"/>
      <c r="AB26" s="4274"/>
      <c r="AC26" s="4271"/>
      <c r="AD26" s="4271"/>
      <c r="AE26" s="4271"/>
      <c r="AF26" s="4271"/>
      <c r="AG26" s="4271"/>
      <c r="AH26" s="4271"/>
      <c r="AI26" s="4271"/>
      <c r="AJ26" s="4271"/>
      <c r="AK26" s="4271"/>
      <c r="AL26" s="4271"/>
      <c r="AM26" s="4271"/>
      <c r="AN26" s="4271"/>
      <c r="AO26" s="4286"/>
      <c r="AP26" s="4286"/>
      <c r="AQ26" s="4289"/>
    </row>
    <row r="27" spans="1:43" ht="45" customHeight="1" x14ac:dyDescent="0.2">
      <c r="A27" s="2164"/>
      <c r="B27" s="2165"/>
      <c r="C27" s="2166"/>
      <c r="D27" s="2167"/>
      <c r="E27" s="2167"/>
      <c r="F27" s="2166"/>
      <c r="G27" s="2164"/>
      <c r="H27" s="2167"/>
      <c r="I27" s="2166"/>
      <c r="J27" s="4291"/>
      <c r="K27" s="4263"/>
      <c r="L27" s="4266"/>
      <c r="M27" s="3611"/>
      <c r="N27" s="4266"/>
      <c r="O27" s="4266"/>
      <c r="P27" s="4263"/>
      <c r="Q27" s="4277"/>
      <c r="R27" s="4280"/>
      <c r="S27" s="4283"/>
      <c r="T27" s="4263"/>
      <c r="U27" s="2171" t="s">
        <v>1889</v>
      </c>
      <c r="V27" s="2172">
        <v>28000000</v>
      </c>
      <c r="W27" s="2173">
        <v>61</v>
      </c>
      <c r="X27" s="2174" t="s">
        <v>1868</v>
      </c>
      <c r="Y27" s="4271"/>
      <c r="Z27" s="4271"/>
      <c r="AA27" s="4271"/>
      <c r="AB27" s="4274"/>
      <c r="AC27" s="4271"/>
      <c r="AD27" s="4271"/>
      <c r="AE27" s="4271"/>
      <c r="AF27" s="4271"/>
      <c r="AG27" s="4271"/>
      <c r="AH27" s="4271"/>
      <c r="AI27" s="4271"/>
      <c r="AJ27" s="4271"/>
      <c r="AK27" s="4271"/>
      <c r="AL27" s="4271"/>
      <c r="AM27" s="4271"/>
      <c r="AN27" s="4271"/>
      <c r="AO27" s="4286"/>
      <c r="AP27" s="4286"/>
      <c r="AQ27" s="4289"/>
    </row>
    <row r="28" spans="1:43" ht="30" x14ac:dyDescent="0.2">
      <c r="A28" s="2164"/>
      <c r="B28" s="2165"/>
      <c r="C28" s="2166"/>
      <c r="D28" s="2167"/>
      <c r="E28" s="2167"/>
      <c r="F28" s="2166"/>
      <c r="G28" s="2164"/>
      <c r="H28" s="2167"/>
      <c r="I28" s="2166"/>
      <c r="J28" s="4291"/>
      <c r="K28" s="4263"/>
      <c r="L28" s="4266"/>
      <c r="M28" s="3611"/>
      <c r="N28" s="4266"/>
      <c r="O28" s="4266"/>
      <c r="P28" s="4263"/>
      <c r="Q28" s="4277"/>
      <c r="R28" s="4280"/>
      <c r="S28" s="4283"/>
      <c r="T28" s="4263"/>
      <c r="U28" s="2171" t="s">
        <v>1890</v>
      </c>
      <c r="V28" s="2172">
        <v>6000000</v>
      </c>
      <c r="W28" s="2173">
        <v>61</v>
      </c>
      <c r="X28" s="2174" t="s">
        <v>1868</v>
      </c>
      <c r="Y28" s="4271"/>
      <c r="Z28" s="4271"/>
      <c r="AA28" s="4271"/>
      <c r="AB28" s="4274"/>
      <c r="AC28" s="4271"/>
      <c r="AD28" s="4271"/>
      <c r="AE28" s="4271"/>
      <c r="AF28" s="4271"/>
      <c r="AG28" s="4271"/>
      <c r="AH28" s="4271"/>
      <c r="AI28" s="4271"/>
      <c r="AJ28" s="4271"/>
      <c r="AK28" s="4271"/>
      <c r="AL28" s="4271"/>
      <c r="AM28" s="4271"/>
      <c r="AN28" s="4271"/>
      <c r="AO28" s="4286"/>
      <c r="AP28" s="4286"/>
      <c r="AQ28" s="4289"/>
    </row>
    <row r="29" spans="1:43" ht="45" customHeight="1" x14ac:dyDescent="0.2">
      <c r="A29" s="2164"/>
      <c r="B29" s="2165"/>
      <c r="C29" s="2166"/>
      <c r="D29" s="2167"/>
      <c r="E29" s="2167"/>
      <c r="F29" s="2166"/>
      <c r="G29" s="2164"/>
      <c r="H29" s="2167"/>
      <c r="I29" s="2166"/>
      <c r="J29" s="4291"/>
      <c r="K29" s="4263"/>
      <c r="L29" s="4266"/>
      <c r="M29" s="3611"/>
      <c r="N29" s="4266"/>
      <c r="O29" s="4266"/>
      <c r="P29" s="4263"/>
      <c r="Q29" s="4277"/>
      <c r="R29" s="4280"/>
      <c r="S29" s="4283"/>
      <c r="T29" s="4263"/>
      <c r="U29" s="2171" t="s">
        <v>1891</v>
      </c>
      <c r="V29" s="2172">
        <v>6000000</v>
      </c>
      <c r="W29" s="2173">
        <v>61</v>
      </c>
      <c r="X29" s="2174" t="s">
        <v>1868</v>
      </c>
      <c r="Y29" s="4271"/>
      <c r="Z29" s="4271"/>
      <c r="AA29" s="4271"/>
      <c r="AB29" s="4274"/>
      <c r="AC29" s="4271"/>
      <c r="AD29" s="4271"/>
      <c r="AE29" s="4271"/>
      <c r="AF29" s="4271"/>
      <c r="AG29" s="4271"/>
      <c r="AH29" s="4271"/>
      <c r="AI29" s="4271"/>
      <c r="AJ29" s="4271"/>
      <c r="AK29" s="4271"/>
      <c r="AL29" s="4271"/>
      <c r="AM29" s="4271"/>
      <c r="AN29" s="4271"/>
      <c r="AO29" s="4286"/>
      <c r="AP29" s="4286"/>
      <c r="AQ29" s="4289"/>
    </row>
    <row r="30" spans="1:43" ht="30" x14ac:dyDescent="0.2">
      <c r="A30" s="2164"/>
      <c r="B30" s="2165"/>
      <c r="C30" s="2166"/>
      <c r="D30" s="2175"/>
      <c r="E30" s="2175"/>
      <c r="F30" s="2176"/>
      <c r="G30" s="2177"/>
      <c r="H30" s="2175"/>
      <c r="I30" s="2176"/>
      <c r="J30" s="4291"/>
      <c r="K30" s="4264"/>
      <c r="L30" s="4267"/>
      <c r="M30" s="3612"/>
      <c r="N30" s="4267"/>
      <c r="O30" s="4267"/>
      <c r="P30" s="4264"/>
      <c r="Q30" s="4278"/>
      <c r="R30" s="4281"/>
      <c r="S30" s="4284"/>
      <c r="T30" s="4264"/>
      <c r="U30" s="2171" t="s">
        <v>1892</v>
      </c>
      <c r="V30" s="2172">
        <v>12000000</v>
      </c>
      <c r="W30" s="2173">
        <v>61</v>
      </c>
      <c r="X30" s="2174" t="s">
        <v>1868</v>
      </c>
      <c r="Y30" s="4272"/>
      <c r="Z30" s="4272"/>
      <c r="AA30" s="4272"/>
      <c r="AB30" s="4275"/>
      <c r="AC30" s="4272"/>
      <c r="AD30" s="4272"/>
      <c r="AE30" s="4272"/>
      <c r="AF30" s="4272"/>
      <c r="AG30" s="4272"/>
      <c r="AH30" s="4272"/>
      <c r="AI30" s="4272"/>
      <c r="AJ30" s="4272"/>
      <c r="AK30" s="4272"/>
      <c r="AL30" s="4272"/>
      <c r="AM30" s="4272"/>
      <c r="AN30" s="4272"/>
      <c r="AO30" s="4287"/>
      <c r="AP30" s="4287"/>
      <c r="AQ30" s="4290"/>
    </row>
    <row r="31" spans="1:43" s="2151" customFormat="1" ht="36" customHeight="1" x14ac:dyDescent="0.2">
      <c r="A31" s="2178"/>
      <c r="B31" s="2179"/>
      <c r="C31" s="2180"/>
      <c r="D31" s="2181">
        <v>12</v>
      </c>
      <c r="E31" s="2182" t="s">
        <v>1893</v>
      </c>
      <c r="F31" s="2183"/>
      <c r="G31" s="2154"/>
      <c r="H31" s="2154"/>
      <c r="I31" s="2154"/>
      <c r="J31" s="2154"/>
      <c r="K31" s="2184"/>
      <c r="L31" s="2154"/>
      <c r="M31" s="2185"/>
      <c r="N31" s="2154"/>
      <c r="O31" s="2184"/>
      <c r="P31" s="2154"/>
      <c r="Q31" s="2186"/>
      <c r="R31" s="2154"/>
      <c r="S31" s="2184"/>
      <c r="T31" s="2184"/>
      <c r="U31" s="2187"/>
      <c r="V31" s="2188"/>
      <c r="W31" s="2189"/>
      <c r="X31" s="2189"/>
      <c r="Y31" s="2189"/>
      <c r="Z31" s="2189"/>
      <c r="AA31" s="2189"/>
      <c r="AB31" s="2189"/>
      <c r="AC31" s="2189"/>
      <c r="AD31" s="2189"/>
      <c r="AE31" s="2189"/>
      <c r="AF31" s="2154"/>
      <c r="AG31" s="2189"/>
      <c r="AH31" s="2189"/>
      <c r="AI31" s="2154"/>
      <c r="AJ31" s="2189"/>
      <c r="AK31" s="2189"/>
      <c r="AL31" s="2189"/>
      <c r="AM31" s="2189"/>
      <c r="AN31" s="2154"/>
      <c r="AO31" s="2189"/>
      <c r="AP31" s="2154"/>
      <c r="AQ31" s="2189"/>
    </row>
    <row r="32" spans="1:43" s="2151" customFormat="1" ht="36" customHeight="1" x14ac:dyDescent="0.2">
      <c r="A32" s="2178"/>
      <c r="B32" s="2190"/>
      <c r="C32" s="2191"/>
      <c r="D32" s="2192"/>
      <c r="E32" s="2193"/>
      <c r="F32" s="2193"/>
      <c r="G32" s="2194">
        <v>36</v>
      </c>
      <c r="H32" s="2160" t="s">
        <v>1894</v>
      </c>
      <c r="I32" s="2160"/>
      <c r="J32" s="2160"/>
      <c r="K32" s="2195"/>
      <c r="L32" s="2160"/>
      <c r="M32" s="2196"/>
      <c r="N32" s="2160"/>
      <c r="O32" s="2195"/>
      <c r="P32" s="2160"/>
      <c r="Q32" s="2197"/>
      <c r="R32" s="2160"/>
      <c r="S32" s="2195"/>
      <c r="T32" s="2195"/>
      <c r="U32" s="2198"/>
      <c r="V32" s="2199"/>
      <c r="W32" s="2200"/>
      <c r="X32" s="2200"/>
      <c r="Y32" s="2200"/>
      <c r="Z32" s="2200"/>
      <c r="AA32" s="2200"/>
      <c r="AB32" s="2200"/>
      <c r="AC32" s="2200"/>
      <c r="AD32" s="2200"/>
      <c r="AE32" s="2200"/>
      <c r="AF32" s="2160"/>
      <c r="AG32" s="2200"/>
      <c r="AH32" s="2160"/>
      <c r="AI32" s="2200"/>
      <c r="AJ32" s="2160"/>
      <c r="AK32" s="2200"/>
      <c r="AL32" s="2160"/>
      <c r="AM32" s="2200"/>
      <c r="AN32" s="2160"/>
      <c r="AO32" s="2160"/>
      <c r="AP32" s="2200"/>
      <c r="AQ32" s="2160"/>
    </row>
    <row r="33" spans="1:43" ht="135" customHeight="1" x14ac:dyDescent="0.2">
      <c r="A33" s="1243"/>
      <c r="B33" s="2158"/>
      <c r="C33" s="1245"/>
      <c r="D33" s="2158"/>
      <c r="E33" s="1245"/>
      <c r="F33" s="1231"/>
      <c r="G33" s="1230"/>
      <c r="H33" s="1231"/>
      <c r="I33" s="1232"/>
      <c r="J33" s="2201">
        <v>130</v>
      </c>
      <c r="K33" s="2202" t="s">
        <v>1895</v>
      </c>
      <c r="L33" s="2203" t="s">
        <v>1861</v>
      </c>
      <c r="M33" s="2204">
        <v>1</v>
      </c>
      <c r="N33" s="4265" t="s">
        <v>1896</v>
      </c>
      <c r="O33" s="4265" t="s">
        <v>1897</v>
      </c>
      <c r="P33" s="4262" t="s">
        <v>1898</v>
      </c>
      <c r="Q33" s="2205">
        <f>+(V33)/R33</f>
        <v>0.31914893617021278</v>
      </c>
      <c r="R33" s="4279">
        <v>188000000</v>
      </c>
      <c r="S33" s="4262" t="s">
        <v>1899</v>
      </c>
      <c r="T33" s="2202" t="s">
        <v>1900</v>
      </c>
      <c r="U33" s="2171" t="s">
        <v>1901</v>
      </c>
      <c r="V33" s="2172">
        <v>60000000</v>
      </c>
      <c r="W33" s="2173">
        <v>61</v>
      </c>
      <c r="X33" s="2206" t="s">
        <v>1868</v>
      </c>
      <c r="Y33" s="4292">
        <v>292684</v>
      </c>
      <c r="Z33" s="4292">
        <v>282326</v>
      </c>
      <c r="AA33" s="4292">
        <v>135912</v>
      </c>
      <c r="AB33" s="4292">
        <v>45122</v>
      </c>
      <c r="AC33" s="4292">
        <v>307101</v>
      </c>
      <c r="AD33" s="4292">
        <v>86875</v>
      </c>
      <c r="AE33" s="4292">
        <v>2145</v>
      </c>
      <c r="AF33" s="4292">
        <v>12718</v>
      </c>
      <c r="AG33" s="4292">
        <v>26</v>
      </c>
      <c r="AH33" s="4292">
        <v>37</v>
      </c>
      <c r="AI33" s="4292">
        <v>16897</v>
      </c>
      <c r="AJ33" s="4292" t="s">
        <v>1869</v>
      </c>
      <c r="AK33" s="4292">
        <v>53164</v>
      </c>
      <c r="AL33" s="4292">
        <v>16982</v>
      </c>
      <c r="AM33" s="4292">
        <v>60013</v>
      </c>
      <c r="AN33" s="4292">
        <v>575010</v>
      </c>
      <c r="AO33" s="4285">
        <v>43466</v>
      </c>
      <c r="AP33" s="4285">
        <v>43830</v>
      </c>
      <c r="AQ33" s="4285" t="s">
        <v>1870</v>
      </c>
    </row>
    <row r="34" spans="1:43" ht="45" x14ac:dyDescent="0.2">
      <c r="A34" s="1243"/>
      <c r="B34" s="2158"/>
      <c r="C34" s="1245"/>
      <c r="D34" s="2158"/>
      <c r="E34" s="1245"/>
      <c r="F34" s="2158"/>
      <c r="G34" s="1243"/>
      <c r="H34" s="2158"/>
      <c r="I34" s="1245"/>
      <c r="J34" s="4259">
        <v>131</v>
      </c>
      <c r="K34" s="4262" t="s">
        <v>1902</v>
      </c>
      <c r="L34" s="4265" t="s">
        <v>1861</v>
      </c>
      <c r="M34" s="3610">
        <v>5</v>
      </c>
      <c r="N34" s="4266"/>
      <c r="O34" s="4266"/>
      <c r="P34" s="4263"/>
      <c r="Q34" s="4276">
        <f>+(V34+V35+V36)/R33</f>
        <v>0.68085106382978722</v>
      </c>
      <c r="R34" s="4280"/>
      <c r="S34" s="4263"/>
      <c r="T34" s="4262" t="s">
        <v>1903</v>
      </c>
      <c r="U34" s="2171" t="s">
        <v>1904</v>
      </c>
      <c r="V34" s="2172">
        <v>28000000</v>
      </c>
      <c r="W34" s="2173">
        <v>61</v>
      </c>
      <c r="X34" s="2206" t="s">
        <v>1868</v>
      </c>
      <c r="Y34" s="4293"/>
      <c r="Z34" s="4293"/>
      <c r="AA34" s="4293"/>
      <c r="AB34" s="4293"/>
      <c r="AC34" s="4293"/>
      <c r="AD34" s="4293"/>
      <c r="AE34" s="4293"/>
      <c r="AF34" s="4293"/>
      <c r="AG34" s="4293"/>
      <c r="AH34" s="4293"/>
      <c r="AI34" s="4293"/>
      <c r="AJ34" s="4293"/>
      <c r="AK34" s="4293"/>
      <c r="AL34" s="4293"/>
      <c r="AM34" s="4293"/>
      <c r="AN34" s="4293"/>
      <c r="AO34" s="4286"/>
      <c r="AP34" s="4286"/>
      <c r="AQ34" s="4286"/>
    </row>
    <row r="35" spans="1:43" ht="45" x14ac:dyDescent="0.2">
      <c r="A35" s="1243"/>
      <c r="B35" s="2158"/>
      <c r="C35" s="1245"/>
      <c r="D35" s="2158"/>
      <c r="E35" s="1245"/>
      <c r="F35" s="2158"/>
      <c r="G35" s="1243"/>
      <c r="H35" s="2158"/>
      <c r="I35" s="1245"/>
      <c r="J35" s="4260"/>
      <c r="K35" s="4263"/>
      <c r="L35" s="4266"/>
      <c r="M35" s="3611"/>
      <c r="N35" s="4266"/>
      <c r="O35" s="4266"/>
      <c r="P35" s="4263"/>
      <c r="Q35" s="4277"/>
      <c r="R35" s="4280"/>
      <c r="S35" s="4263"/>
      <c r="T35" s="4263"/>
      <c r="U35" s="2171" t="s">
        <v>1905</v>
      </c>
      <c r="V35" s="2172">
        <v>40000000</v>
      </c>
      <c r="W35" s="2173">
        <v>61</v>
      </c>
      <c r="X35" s="2206" t="s">
        <v>1868</v>
      </c>
      <c r="Y35" s="4293"/>
      <c r="Z35" s="4293"/>
      <c r="AA35" s="4293"/>
      <c r="AB35" s="4293"/>
      <c r="AC35" s="4293"/>
      <c r="AD35" s="4293"/>
      <c r="AE35" s="4293"/>
      <c r="AF35" s="4293"/>
      <c r="AG35" s="4293"/>
      <c r="AH35" s="4293"/>
      <c r="AI35" s="4293"/>
      <c r="AJ35" s="4293"/>
      <c r="AK35" s="4293"/>
      <c r="AL35" s="4293"/>
      <c r="AM35" s="4293"/>
      <c r="AN35" s="4293"/>
      <c r="AO35" s="4286"/>
      <c r="AP35" s="4286"/>
      <c r="AQ35" s="4286"/>
    </row>
    <row r="36" spans="1:43" ht="45" x14ac:dyDescent="0.2">
      <c r="A36" s="1243"/>
      <c r="B36" s="2158"/>
      <c r="C36" s="1245"/>
      <c r="D36" s="2158"/>
      <c r="E36" s="1245"/>
      <c r="F36" s="1280"/>
      <c r="G36" s="1279"/>
      <c r="H36" s="1280"/>
      <c r="I36" s="1281"/>
      <c r="J36" s="4261"/>
      <c r="K36" s="4264"/>
      <c r="L36" s="4267"/>
      <c r="M36" s="3612"/>
      <c r="N36" s="4267"/>
      <c r="O36" s="4267"/>
      <c r="P36" s="4264"/>
      <c r="Q36" s="4278"/>
      <c r="R36" s="4281"/>
      <c r="S36" s="4264"/>
      <c r="T36" s="4264"/>
      <c r="U36" s="2171" t="s">
        <v>1906</v>
      </c>
      <c r="V36" s="2172">
        <v>60000000</v>
      </c>
      <c r="W36" s="2173">
        <v>61</v>
      </c>
      <c r="X36" s="2206" t="s">
        <v>1868</v>
      </c>
      <c r="Y36" s="4293"/>
      <c r="Z36" s="4294"/>
      <c r="AA36" s="4293"/>
      <c r="AB36" s="4293"/>
      <c r="AC36" s="4293"/>
      <c r="AD36" s="4293"/>
      <c r="AE36" s="4293"/>
      <c r="AF36" s="4293"/>
      <c r="AG36" s="4293"/>
      <c r="AH36" s="4293"/>
      <c r="AI36" s="4293"/>
      <c r="AJ36" s="4293"/>
      <c r="AK36" s="4293"/>
      <c r="AL36" s="4293"/>
      <c r="AM36" s="4293"/>
      <c r="AN36" s="4293"/>
      <c r="AO36" s="4286"/>
      <c r="AP36" s="4286"/>
      <c r="AQ36" s="4286"/>
    </row>
    <row r="37" spans="1:43" ht="15.75" x14ac:dyDescent="0.2">
      <c r="A37" s="1243"/>
      <c r="B37" s="2158"/>
      <c r="C37" s="1245"/>
      <c r="D37" s="2158"/>
      <c r="E37" s="1245"/>
      <c r="F37" s="2207"/>
      <c r="G37" s="2194">
        <v>37</v>
      </c>
      <c r="H37" s="2160" t="s">
        <v>1907</v>
      </c>
      <c r="I37" s="2160"/>
      <c r="J37" s="2160"/>
      <c r="K37" s="2195"/>
      <c r="L37" s="2160"/>
      <c r="M37" s="2208"/>
      <c r="N37" s="2195"/>
      <c r="O37" s="2195"/>
      <c r="P37" s="2195"/>
      <c r="Q37" s="2195"/>
      <c r="R37" s="2195"/>
      <c r="S37" s="2195"/>
      <c r="T37" s="2195"/>
      <c r="U37" s="2195"/>
      <c r="V37" s="2195"/>
      <c r="W37" s="2195"/>
      <c r="X37" s="2200"/>
      <c r="Y37" s="2195"/>
      <c r="Z37" s="2195"/>
      <c r="AA37" s="2195"/>
      <c r="AB37" s="2195"/>
      <c r="AC37" s="2195"/>
      <c r="AD37" s="2195"/>
      <c r="AE37" s="2195"/>
      <c r="AF37" s="2195"/>
      <c r="AG37" s="2195"/>
      <c r="AH37" s="2195"/>
      <c r="AI37" s="2195"/>
      <c r="AJ37" s="2195"/>
      <c r="AK37" s="2195"/>
      <c r="AL37" s="2195"/>
      <c r="AM37" s="2195"/>
      <c r="AN37" s="2195"/>
      <c r="AO37" s="2195"/>
      <c r="AP37" s="2195"/>
      <c r="AQ37" s="2195"/>
    </row>
    <row r="38" spans="1:43" ht="135" customHeight="1" x14ac:dyDescent="0.2">
      <c r="A38" s="1243"/>
      <c r="B38" s="2158"/>
      <c r="C38" s="1245"/>
      <c r="D38" s="2158"/>
      <c r="E38" s="1245"/>
      <c r="F38" s="2209"/>
      <c r="G38" s="2210"/>
      <c r="H38" s="2210"/>
      <c r="I38" s="2211"/>
      <c r="J38" s="4259">
        <v>132</v>
      </c>
      <c r="K38" s="4262" t="s">
        <v>1908</v>
      </c>
      <c r="L38" s="4265" t="s">
        <v>1861</v>
      </c>
      <c r="M38" s="4295">
        <v>8</v>
      </c>
      <c r="N38" s="4265" t="s">
        <v>1909</v>
      </c>
      <c r="O38" s="4265" t="s">
        <v>1910</v>
      </c>
      <c r="P38" s="4262" t="s">
        <v>1911</v>
      </c>
      <c r="Q38" s="4298">
        <f>+(V38+V39+V40+V41)/R38</f>
        <v>0.1891891891891892</v>
      </c>
      <c r="R38" s="4301">
        <f>SUM(V38:V63)</f>
        <v>148000000</v>
      </c>
      <c r="S38" s="4262" t="s">
        <v>1912</v>
      </c>
      <c r="T38" s="4262" t="s">
        <v>1913</v>
      </c>
      <c r="U38" s="2171" t="s">
        <v>1914</v>
      </c>
      <c r="V38" s="2212">
        <v>10000000</v>
      </c>
      <c r="W38" s="2173">
        <v>61</v>
      </c>
      <c r="X38" s="2213" t="s">
        <v>1868</v>
      </c>
      <c r="Y38" s="3610">
        <v>292684</v>
      </c>
      <c r="Z38" s="3610">
        <v>282326</v>
      </c>
      <c r="AA38" s="3610">
        <v>135912</v>
      </c>
      <c r="AB38" s="3610">
        <v>45122</v>
      </c>
      <c r="AC38" s="3610">
        <v>307101</v>
      </c>
      <c r="AD38" s="3610">
        <v>86875</v>
      </c>
      <c r="AE38" s="3610">
        <v>2145</v>
      </c>
      <c r="AF38" s="3610">
        <v>12718</v>
      </c>
      <c r="AG38" s="3610">
        <v>1907.6999999999998</v>
      </c>
      <c r="AH38" s="3610">
        <v>37</v>
      </c>
      <c r="AI38" s="3610" t="s">
        <v>1869</v>
      </c>
      <c r="AJ38" s="3610" t="s">
        <v>1869</v>
      </c>
      <c r="AK38" s="3610">
        <v>53164</v>
      </c>
      <c r="AL38" s="3610">
        <v>16982</v>
      </c>
      <c r="AM38" s="3610">
        <v>60013</v>
      </c>
      <c r="AN38" s="3610">
        <v>575010</v>
      </c>
      <c r="AO38" s="4285">
        <v>43466</v>
      </c>
      <c r="AP38" s="4285">
        <v>43830</v>
      </c>
      <c r="AQ38" s="4285" t="s">
        <v>1870</v>
      </c>
    </row>
    <row r="39" spans="1:43" ht="45" x14ac:dyDescent="0.2">
      <c r="A39" s="1243"/>
      <c r="B39" s="2158"/>
      <c r="C39" s="1245"/>
      <c r="D39" s="2158"/>
      <c r="E39" s="1245"/>
      <c r="F39" s="2209"/>
      <c r="G39" s="2214"/>
      <c r="H39" s="2214"/>
      <c r="I39" s="2215"/>
      <c r="J39" s="4260"/>
      <c r="K39" s="4263"/>
      <c r="L39" s="4266"/>
      <c r="M39" s="4296"/>
      <c r="N39" s="4266"/>
      <c r="O39" s="4266"/>
      <c r="P39" s="4263"/>
      <c r="Q39" s="4299"/>
      <c r="R39" s="4302"/>
      <c r="S39" s="4263"/>
      <c r="T39" s="4263"/>
      <c r="U39" s="2171" t="s">
        <v>1915</v>
      </c>
      <c r="V39" s="2212">
        <v>10000000</v>
      </c>
      <c r="W39" s="2173">
        <v>61</v>
      </c>
      <c r="X39" s="2213" t="s">
        <v>1868</v>
      </c>
      <c r="Y39" s="3611"/>
      <c r="Z39" s="3611"/>
      <c r="AA39" s="3611"/>
      <c r="AB39" s="3611"/>
      <c r="AC39" s="3611"/>
      <c r="AD39" s="3611"/>
      <c r="AE39" s="3611"/>
      <c r="AF39" s="3611"/>
      <c r="AG39" s="3611"/>
      <c r="AH39" s="3611"/>
      <c r="AI39" s="3611"/>
      <c r="AJ39" s="3611"/>
      <c r="AK39" s="3611"/>
      <c r="AL39" s="3611"/>
      <c r="AM39" s="3611"/>
      <c r="AN39" s="3611"/>
      <c r="AO39" s="4286"/>
      <c r="AP39" s="4286"/>
      <c r="AQ39" s="4286"/>
    </row>
    <row r="40" spans="1:43" ht="75" x14ac:dyDescent="0.2">
      <c r="A40" s="1243"/>
      <c r="B40" s="2158"/>
      <c r="C40" s="1245"/>
      <c r="D40" s="2158"/>
      <c r="E40" s="1245"/>
      <c r="F40" s="2209"/>
      <c r="G40" s="2214"/>
      <c r="H40" s="2214"/>
      <c r="I40" s="2215"/>
      <c r="J40" s="4260"/>
      <c r="K40" s="4263"/>
      <c r="L40" s="4266"/>
      <c r="M40" s="4296"/>
      <c r="N40" s="4266"/>
      <c r="O40" s="4266"/>
      <c r="P40" s="4263"/>
      <c r="Q40" s="4299"/>
      <c r="R40" s="4302"/>
      <c r="S40" s="4263"/>
      <c r="T40" s="4263"/>
      <c r="U40" s="2171" t="s">
        <v>1916</v>
      </c>
      <c r="V40" s="2212">
        <v>2000000</v>
      </c>
      <c r="W40" s="2173">
        <v>61</v>
      </c>
      <c r="X40" s="2213" t="s">
        <v>1868</v>
      </c>
      <c r="Y40" s="3611"/>
      <c r="Z40" s="3611"/>
      <c r="AA40" s="3611"/>
      <c r="AB40" s="3611"/>
      <c r="AC40" s="3611"/>
      <c r="AD40" s="3611"/>
      <c r="AE40" s="3611"/>
      <c r="AF40" s="3611"/>
      <c r="AG40" s="3611"/>
      <c r="AH40" s="3611"/>
      <c r="AI40" s="3611"/>
      <c r="AJ40" s="3611"/>
      <c r="AK40" s="3611"/>
      <c r="AL40" s="3611"/>
      <c r="AM40" s="3611"/>
      <c r="AN40" s="3611"/>
      <c r="AO40" s="4286"/>
      <c r="AP40" s="4286"/>
      <c r="AQ40" s="4286"/>
    </row>
    <row r="41" spans="1:43" ht="60" x14ac:dyDescent="0.2">
      <c r="A41" s="1243"/>
      <c r="B41" s="2158"/>
      <c r="C41" s="1245"/>
      <c r="D41" s="2158"/>
      <c r="E41" s="1245"/>
      <c r="F41" s="2209"/>
      <c r="G41" s="2214"/>
      <c r="H41" s="2214"/>
      <c r="I41" s="2215"/>
      <c r="J41" s="4261"/>
      <c r="K41" s="4264"/>
      <c r="L41" s="4267"/>
      <c r="M41" s="4297"/>
      <c r="N41" s="4266"/>
      <c r="O41" s="4266"/>
      <c r="P41" s="4263"/>
      <c r="Q41" s="4300"/>
      <c r="R41" s="4302"/>
      <c r="S41" s="4263"/>
      <c r="T41" s="4263"/>
      <c r="U41" s="2171" t="s">
        <v>1917</v>
      </c>
      <c r="V41" s="2212">
        <v>6000000</v>
      </c>
      <c r="W41" s="2173">
        <v>61</v>
      </c>
      <c r="X41" s="2213" t="s">
        <v>1868</v>
      </c>
      <c r="Y41" s="3611"/>
      <c r="Z41" s="3611"/>
      <c r="AA41" s="3611"/>
      <c r="AB41" s="3611"/>
      <c r="AC41" s="3611"/>
      <c r="AD41" s="3611"/>
      <c r="AE41" s="3611"/>
      <c r="AF41" s="3611"/>
      <c r="AG41" s="3611"/>
      <c r="AH41" s="3611"/>
      <c r="AI41" s="3611"/>
      <c r="AJ41" s="3611"/>
      <c r="AK41" s="3611"/>
      <c r="AL41" s="3611"/>
      <c r="AM41" s="3611"/>
      <c r="AN41" s="3611"/>
      <c r="AO41" s="4286"/>
      <c r="AP41" s="4286"/>
      <c r="AQ41" s="4286"/>
    </row>
    <row r="42" spans="1:43" ht="60" customHeight="1" x14ac:dyDescent="0.2">
      <c r="A42" s="1243"/>
      <c r="B42" s="2158"/>
      <c r="C42" s="1245"/>
      <c r="D42" s="2158"/>
      <c r="E42" s="1245"/>
      <c r="F42" s="2209"/>
      <c r="G42" s="2214"/>
      <c r="H42" s="2214"/>
      <c r="I42" s="2215"/>
      <c r="J42" s="4260">
        <v>133</v>
      </c>
      <c r="K42" s="4262" t="s">
        <v>1918</v>
      </c>
      <c r="L42" s="4266" t="s">
        <v>1861</v>
      </c>
      <c r="M42" s="4295">
        <v>12</v>
      </c>
      <c r="N42" s="4266"/>
      <c r="O42" s="4266"/>
      <c r="P42" s="4263"/>
      <c r="Q42" s="4304">
        <f>+(V42+V43+V44+V45+V46)/R38</f>
        <v>0.1891891891891892</v>
      </c>
      <c r="R42" s="4302"/>
      <c r="S42" s="4263"/>
      <c r="T42" s="4263"/>
      <c r="U42" s="2171" t="s">
        <v>1919</v>
      </c>
      <c r="V42" s="2212">
        <v>8000000</v>
      </c>
      <c r="W42" s="2173">
        <v>61</v>
      </c>
      <c r="X42" s="2213" t="s">
        <v>1868</v>
      </c>
      <c r="Y42" s="3611"/>
      <c r="Z42" s="3611"/>
      <c r="AA42" s="3611"/>
      <c r="AB42" s="3611"/>
      <c r="AC42" s="3611"/>
      <c r="AD42" s="3611"/>
      <c r="AE42" s="3611"/>
      <c r="AF42" s="3611"/>
      <c r="AG42" s="3611"/>
      <c r="AH42" s="3611"/>
      <c r="AI42" s="3611"/>
      <c r="AJ42" s="3611"/>
      <c r="AK42" s="3611"/>
      <c r="AL42" s="3611"/>
      <c r="AM42" s="3611"/>
      <c r="AN42" s="3611"/>
      <c r="AO42" s="4286"/>
      <c r="AP42" s="4286"/>
      <c r="AQ42" s="4286"/>
    </row>
    <row r="43" spans="1:43" ht="45" x14ac:dyDescent="0.2">
      <c r="A43" s="1243"/>
      <c r="B43" s="2158"/>
      <c r="C43" s="1245"/>
      <c r="D43" s="2158"/>
      <c r="E43" s="1245"/>
      <c r="F43" s="2209"/>
      <c r="G43" s="2214"/>
      <c r="H43" s="2214"/>
      <c r="I43" s="2215"/>
      <c r="J43" s="4260"/>
      <c r="K43" s="4263"/>
      <c r="L43" s="4266"/>
      <c r="M43" s="4296"/>
      <c r="N43" s="4266"/>
      <c r="O43" s="4266"/>
      <c r="P43" s="4263"/>
      <c r="Q43" s="4305"/>
      <c r="R43" s="4302"/>
      <c r="S43" s="4263"/>
      <c r="T43" s="4263"/>
      <c r="U43" s="2171" t="s">
        <v>1920</v>
      </c>
      <c r="V43" s="2212">
        <v>10000000</v>
      </c>
      <c r="W43" s="2173">
        <v>61</v>
      </c>
      <c r="X43" s="2213" t="s">
        <v>1868</v>
      </c>
      <c r="Y43" s="3611"/>
      <c r="Z43" s="3611"/>
      <c r="AA43" s="3611"/>
      <c r="AB43" s="3611"/>
      <c r="AC43" s="3611"/>
      <c r="AD43" s="3611"/>
      <c r="AE43" s="3611"/>
      <c r="AF43" s="3611"/>
      <c r="AG43" s="3611"/>
      <c r="AH43" s="3611"/>
      <c r="AI43" s="3611"/>
      <c r="AJ43" s="3611"/>
      <c r="AK43" s="3611"/>
      <c r="AL43" s="3611"/>
      <c r="AM43" s="3611"/>
      <c r="AN43" s="3611"/>
      <c r="AO43" s="4286"/>
      <c r="AP43" s="4286"/>
      <c r="AQ43" s="4286"/>
    </row>
    <row r="44" spans="1:43" ht="75" x14ac:dyDescent="0.2">
      <c r="A44" s="1243"/>
      <c r="B44" s="2158"/>
      <c r="C44" s="1245"/>
      <c r="D44" s="2158"/>
      <c r="E44" s="1245"/>
      <c r="F44" s="2209"/>
      <c r="G44" s="2214"/>
      <c r="H44" s="2214"/>
      <c r="I44" s="2215"/>
      <c r="J44" s="4260"/>
      <c r="K44" s="4263"/>
      <c r="L44" s="4266"/>
      <c r="M44" s="4296"/>
      <c r="N44" s="4266"/>
      <c r="O44" s="4266"/>
      <c r="P44" s="4263"/>
      <c r="Q44" s="4305"/>
      <c r="R44" s="4302"/>
      <c r="S44" s="4263"/>
      <c r="T44" s="4263"/>
      <c r="U44" s="2171" t="s">
        <v>1921</v>
      </c>
      <c r="V44" s="2212">
        <v>2000000</v>
      </c>
      <c r="W44" s="2173">
        <v>61</v>
      </c>
      <c r="X44" s="2213" t="s">
        <v>1868</v>
      </c>
      <c r="Y44" s="3611"/>
      <c r="Z44" s="3611"/>
      <c r="AA44" s="3611"/>
      <c r="AB44" s="3611"/>
      <c r="AC44" s="3611"/>
      <c r="AD44" s="3611"/>
      <c r="AE44" s="3611"/>
      <c r="AF44" s="3611"/>
      <c r="AG44" s="3611"/>
      <c r="AH44" s="3611"/>
      <c r="AI44" s="3611"/>
      <c r="AJ44" s="3611"/>
      <c r="AK44" s="3611"/>
      <c r="AL44" s="3611"/>
      <c r="AM44" s="3611"/>
      <c r="AN44" s="3611"/>
      <c r="AO44" s="4286"/>
      <c r="AP44" s="4286"/>
      <c r="AQ44" s="4286"/>
    </row>
    <row r="45" spans="1:43" ht="45" x14ac:dyDescent="0.2">
      <c r="A45" s="1243"/>
      <c r="B45" s="2158"/>
      <c r="C45" s="1245"/>
      <c r="D45" s="2158"/>
      <c r="E45" s="1245"/>
      <c r="F45" s="2209"/>
      <c r="G45" s="2214"/>
      <c r="H45" s="2214"/>
      <c r="I45" s="2215"/>
      <c r="J45" s="4260"/>
      <c r="K45" s="4263"/>
      <c r="L45" s="4266"/>
      <c r="M45" s="4296"/>
      <c r="N45" s="4266"/>
      <c r="O45" s="4266"/>
      <c r="P45" s="4263"/>
      <c r="Q45" s="4305"/>
      <c r="R45" s="4302"/>
      <c r="S45" s="4263"/>
      <c r="T45" s="4263"/>
      <c r="U45" s="2171" t="s">
        <v>1922</v>
      </c>
      <c r="V45" s="2212">
        <v>4000000</v>
      </c>
      <c r="W45" s="2173">
        <v>61</v>
      </c>
      <c r="X45" s="2213" t="s">
        <v>1868</v>
      </c>
      <c r="Y45" s="3611"/>
      <c r="Z45" s="3611"/>
      <c r="AA45" s="3611"/>
      <c r="AB45" s="3611"/>
      <c r="AC45" s="3611"/>
      <c r="AD45" s="3611"/>
      <c r="AE45" s="3611"/>
      <c r="AF45" s="3611"/>
      <c r="AG45" s="3611"/>
      <c r="AH45" s="3611"/>
      <c r="AI45" s="3611"/>
      <c r="AJ45" s="3611"/>
      <c r="AK45" s="3611"/>
      <c r="AL45" s="3611"/>
      <c r="AM45" s="3611"/>
      <c r="AN45" s="3611"/>
      <c r="AO45" s="4286"/>
      <c r="AP45" s="4286"/>
      <c r="AQ45" s="4286"/>
    </row>
    <row r="46" spans="1:43" ht="45" x14ac:dyDescent="0.2">
      <c r="A46" s="1243"/>
      <c r="B46" s="2158"/>
      <c r="C46" s="1245"/>
      <c r="D46" s="2158"/>
      <c r="E46" s="1245"/>
      <c r="F46" s="2209"/>
      <c r="G46" s="2214"/>
      <c r="H46" s="2214"/>
      <c r="I46" s="2215"/>
      <c r="J46" s="4261"/>
      <c r="K46" s="4264"/>
      <c r="L46" s="4267"/>
      <c r="M46" s="4297"/>
      <c r="N46" s="4266"/>
      <c r="O46" s="4266"/>
      <c r="P46" s="4263"/>
      <c r="Q46" s="4306"/>
      <c r="R46" s="4302"/>
      <c r="S46" s="4263"/>
      <c r="T46" s="4264"/>
      <c r="U46" s="2171" t="s">
        <v>1923</v>
      </c>
      <c r="V46" s="2212">
        <v>4000000</v>
      </c>
      <c r="W46" s="2173">
        <v>61</v>
      </c>
      <c r="X46" s="2213" t="s">
        <v>1868</v>
      </c>
      <c r="Y46" s="3611"/>
      <c r="Z46" s="3611"/>
      <c r="AA46" s="3611"/>
      <c r="AB46" s="3611"/>
      <c r="AC46" s="3611"/>
      <c r="AD46" s="3611"/>
      <c r="AE46" s="3611"/>
      <c r="AF46" s="3611"/>
      <c r="AG46" s="3611"/>
      <c r="AH46" s="3611"/>
      <c r="AI46" s="3611"/>
      <c r="AJ46" s="3611"/>
      <c r="AK46" s="3611"/>
      <c r="AL46" s="3611"/>
      <c r="AM46" s="3611"/>
      <c r="AN46" s="3611"/>
      <c r="AO46" s="4286"/>
      <c r="AP46" s="4286"/>
      <c r="AQ46" s="4286"/>
    </row>
    <row r="47" spans="1:43" ht="45" x14ac:dyDescent="0.2">
      <c r="A47" s="1243"/>
      <c r="B47" s="2158"/>
      <c r="C47" s="1245"/>
      <c r="D47" s="2158"/>
      <c r="E47" s="1245"/>
      <c r="F47" s="2209"/>
      <c r="G47" s="2214"/>
      <c r="H47" s="2214"/>
      <c r="I47" s="2215"/>
      <c r="J47" s="4259">
        <v>134</v>
      </c>
      <c r="K47" s="4262" t="s">
        <v>1924</v>
      </c>
      <c r="L47" s="4265" t="s">
        <v>1861</v>
      </c>
      <c r="M47" s="4295">
        <v>4800</v>
      </c>
      <c r="N47" s="4266"/>
      <c r="O47" s="4266"/>
      <c r="P47" s="4263"/>
      <c r="Q47" s="4298">
        <f>+(V47+V48+V49+V50+V51+V52+V53+V54+V55+V56+V57+V58)/R38</f>
        <v>0.40540540540540543</v>
      </c>
      <c r="R47" s="4302"/>
      <c r="S47" s="4263"/>
      <c r="T47" s="4262" t="s">
        <v>1925</v>
      </c>
      <c r="U47" s="2171" t="s">
        <v>1926</v>
      </c>
      <c r="V47" s="2212">
        <v>5000000</v>
      </c>
      <c r="W47" s="2173">
        <v>61</v>
      </c>
      <c r="X47" s="2213" t="s">
        <v>1868</v>
      </c>
      <c r="Y47" s="3611"/>
      <c r="Z47" s="3611"/>
      <c r="AA47" s="3611"/>
      <c r="AB47" s="3611"/>
      <c r="AC47" s="3611"/>
      <c r="AD47" s="3611"/>
      <c r="AE47" s="3611"/>
      <c r="AF47" s="3611"/>
      <c r="AG47" s="3611"/>
      <c r="AH47" s="3611"/>
      <c r="AI47" s="3611"/>
      <c r="AJ47" s="3611"/>
      <c r="AK47" s="3611"/>
      <c r="AL47" s="3611"/>
      <c r="AM47" s="3611"/>
      <c r="AN47" s="3611"/>
      <c r="AO47" s="4286"/>
      <c r="AP47" s="4286"/>
      <c r="AQ47" s="4286"/>
    </row>
    <row r="48" spans="1:43" ht="30" x14ac:dyDescent="0.2">
      <c r="A48" s="1243"/>
      <c r="B48" s="2158"/>
      <c r="C48" s="1245"/>
      <c r="D48" s="2158"/>
      <c r="E48" s="1245"/>
      <c r="F48" s="2209"/>
      <c r="G48" s="2214"/>
      <c r="H48" s="2214"/>
      <c r="I48" s="2215"/>
      <c r="J48" s="4260"/>
      <c r="K48" s="4263"/>
      <c r="L48" s="4266"/>
      <c r="M48" s="4296"/>
      <c r="N48" s="4266"/>
      <c r="O48" s="4266"/>
      <c r="P48" s="4263"/>
      <c r="Q48" s="4299"/>
      <c r="R48" s="4302"/>
      <c r="S48" s="4263"/>
      <c r="T48" s="4263"/>
      <c r="U48" s="2171" t="s">
        <v>1927</v>
      </c>
      <c r="V48" s="2212">
        <v>5000000</v>
      </c>
      <c r="W48" s="2173">
        <v>61</v>
      </c>
      <c r="X48" s="2213" t="s">
        <v>1868</v>
      </c>
      <c r="Y48" s="3611"/>
      <c r="Z48" s="3611"/>
      <c r="AA48" s="3611"/>
      <c r="AB48" s="3611"/>
      <c r="AC48" s="3611"/>
      <c r="AD48" s="3611"/>
      <c r="AE48" s="3611"/>
      <c r="AF48" s="3611"/>
      <c r="AG48" s="3611"/>
      <c r="AH48" s="3611"/>
      <c r="AI48" s="3611"/>
      <c r="AJ48" s="3611"/>
      <c r="AK48" s="3611"/>
      <c r="AL48" s="3611"/>
      <c r="AM48" s="3611"/>
      <c r="AN48" s="3611"/>
      <c r="AO48" s="4286"/>
      <c r="AP48" s="4286"/>
      <c r="AQ48" s="4286"/>
    </row>
    <row r="49" spans="1:43" ht="45" x14ac:dyDescent="0.2">
      <c r="A49" s="1243"/>
      <c r="B49" s="2158"/>
      <c r="C49" s="1245"/>
      <c r="D49" s="2158"/>
      <c r="E49" s="1245"/>
      <c r="F49" s="2209"/>
      <c r="G49" s="2214"/>
      <c r="H49" s="2214"/>
      <c r="I49" s="2215"/>
      <c r="J49" s="4260"/>
      <c r="K49" s="4263"/>
      <c r="L49" s="4266"/>
      <c r="M49" s="4296"/>
      <c r="N49" s="4266"/>
      <c r="O49" s="4266"/>
      <c r="P49" s="4263"/>
      <c r="Q49" s="4299"/>
      <c r="R49" s="4302"/>
      <c r="S49" s="4263"/>
      <c r="T49" s="4263"/>
      <c r="U49" s="2171" t="s">
        <v>1928</v>
      </c>
      <c r="V49" s="2212">
        <v>5000000</v>
      </c>
      <c r="W49" s="2173">
        <v>61</v>
      </c>
      <c r="X49" s="2213" t="s">
        <v>1868</v>
      </c>
      <c r="Y49" s="3611"/>
      <c r="Z49" s="3611"/>
      <c r="AA49" s="3611"/>
      <c r="AB49" s="3611"/>
      <c r="AC49" s="3611"/>
      <c r="AD49" s="3611"/>
      <c r="AE49" s="3611"/>
      <c r="AF49" s="3611"/>
      <c r="AG49" s="3611"/>
      <c r="AH49" s="3611"/>
      <c r="AI49" s="3611"/>
      <c r="AJ49" s="3611"/>
      <c r="AK49" s="3611"/>
      <c r="AL49" s="3611"/>
      <c r="AM49" s="3611"/>
      <c r="AN49" s="3611"/>
      <c r="AO49" s="4286"/>
      <c r="AP49" s="4286"/>
      <c r="AQ49" s="4286"/>
    </row>
    <row r="50" spans="1:43" ht="45" x14ac:dyDescent="0.2">
      <c r="A50" s="1243"/>
      <c r="B50" s="2158"/>
      <c r="C50" s="1245"/>
      <c r="D50" s="2158"/>
      <c r="E50" s="1245"/>
      <c r="F50" s="2209"/>
      <c r="G50" s="2214"/>
      <c r="H50" s="2214"/>
      <c r="I50" s="2215"/>
      <c r="J50" s="4260"/>
      <c r="K50" s="4263"/>
      <c r="L50" s="4266"/>
      <c r="M50" s="4296"/>
      <c r="N50" s="4266"/>
      <c r="O50" s="4266"/>
      <c r="P50" s="4263"/>
      <c r="Q50" s="4299"/>
      <c r="R50" s="4302"/>
      <c r="S50" s="4263"/>
      <c r="T50" s="4263"/>
      <c r="U50" s="2171" t="s">
        <v>1929</v>
      </c>
      <c r="V50" s="2212">
        <v>5000000</v>
      </c>
      <c r="W50" s="2173">
        <v>61</v>
      </c>
      <c r="X50" s="2213" t="s">
        <v>1868</v>
      </c>
      <c r="Y50" s="3611"/>
      <c r="Z50" s="3611"/>
      <c r="AA50" s="3611"/>
      <c r="AB50" s="3611"/>
      <c r="AC50" s="3611"/>
      <c r="AD50" s="3611"/>
      <c r="AE50" s="3611"/>
      <c r="AF50" s="3611"/>
      <c r="AG50" s="3611"/>
      <c r="AH50" s="3611"/>
      <c r="AI50" s="3611"/>
      <c r="AJ50" s="3611"/>
      <c r="AK50" s="3611"/>
      <c r="AL50" s="3611"/>
      <c r="AM50" s="3611"/>
      <c r="AN50" s="3611"/>
      <c r="AO50" s="4286"/>
      <c r="AP50" s="4286"/>
      <c r="AQ50" s="4286"/>
    </row>
    <row r="51" spans="1:43" ht="45" x14ac:dyDescent="0.2">
      <c r="A51" s="1243"/>
      <c r="B51" s="2158"/>
      <c r="C51" s="1245"/>
      <c r="D51" s="2158"/>
      <c r="E51" s="1245"/>
      <c r="F51" s="2209"/>
      <c r="G51" s="2214"/>
      <c r="H51" s="2214"/>
      <c r="I51" s="2215"/>
      <c r="J51" s="4260"/>
      <c r="K51" s="4263"/>
      <c r="L51" s="4266"/>
      <c r="M51" s="4296"/>
      <c r="N51" s="4266"/>
      <c r="O51" s="4266"/>
      <c r="P51" s="4263"/>
      <c r="Q51" s="4299"/>
      <c r="R51" s="4302"/>
      <c r="S51" s="4263"/>
      <c r="T51" s="4263"/>
      <c r="U51" s="2171" t="s">
        <v>1930</v>
      </c>
      <c r="V51" s="2212">
        <v>5000000</v>
      </c>
      <c r="W51" s="2173">
        <v>61</v>
      </c>
      <c r="X51" s="2213" t="s">
        <v>1868</v>
      </c>
      <c r="Y51" s="3611"/>
      <c r="Z51" s="3611"/>
      <c r="AA51" s="3611"/>
      <c r="AB51" s="3611"/>
      <c r="AC51" s="3611"/>
      <c r="AD51" s="3611"/>
      <c r="AE51" s="3611"/>
      <c r="AF51" s="3611"/>
      <c r="AG51" s="3611"/>
      <c r="AH51" s="3611"/>
      <c r="AI51" s="3611"/>
      <c r="AJ51" s="3611"/>
      <c r="AK51" s="3611"/>
      <c r="AL51" s="3611"/>
      <c r="AM51" s="3611"/>
      <c r="AN51" s="3611"/>
      <c r="AO51" s="4286"/>
      <c r="AP51" s="4286"/>
      <c r="AQ51" s="4286"/>
    </row>
    <row r="52" spans="1:43" ht="30" x14ac:dyDescent="0.2">
      <c r="A52" s="1243"/>
      <c r="B52" s="2158"/>
      <c r="C52" s="1245"/>
      <c r="D52" s="2158"/>
      <c r="E52" s="1245"/>
      <c r="F52" s="2209"/>
      <c r="G52" s="2214"/>
      <c r="H52" s="2214"/>
      <c r="I52" s="2215"/>
      <c r="J52" s="4260"/>
      <c r="K52" s="4263"/>
      <c r="L52" s="4266"/>
      <c r="M52" s="4296"/>
      <c r="N52" s="4266"/>
      <c r="O52" s="4266"/>
      <c r="P52" s="4263"/>
      <c r="Q52" s="4299"/>
      <c r="R52" s="4302"/>
      <c r="S52" s="4263"/>
      <c r="T52" s="4263"/>
      <c r="U52" s="2171" t="s">
        <v>1931</v>
      </c>
      <c r="V52" s="2212">
        <v>5000000</v>
      </c>
      <c r="W52" s="2173">
        <v>61</v>
      </c>
      <c r="X52" s="2213" t="s">
        <v>1868</v>
      </c>
      <c r="Y52" s="3611"/>
      <c r="Z52" s="3611"/>
      <c r="AA52" s="3611"/>
      <c r="AB52" s="3611"/>
      <c r="AC52" s="3611"/>
      <c r="AD52" s="3611"/>
      <c r="AE52" s="3611"/>
      <c r="AF52" s="3611"/>
      <c r="AG52" s="3611"/>
      <c r="AH52" s="3611"/>
      <c r="AI52" s="3611"/>
      <c r="AJ52" s="3611"/>
      <c r="AK52" s="3611"/>
      <c r="AL52" s="3611"/>
      <c r="AM52" s="3611"/>
      <c r="AN52" s="3611"/>
      <c r="AO52" s="4286"/>
      <c r="AP52" s="4286"/>
      <c r="AQ52" s="4286"/>
    </row>
    <row r="53" spans="1:43" ht="45" x14ac:dyDescent="0.2">
      <c r="A53" s="1243"/>
      <c r="B53" s="2158"/>
      <c r="C53" s="1245"/>
      <c r="D53" s="2158"/>
      <c r="E53" s="1245"/>
      <c r="F53" s="2209"/>
      <c r="G53" s="2214"/>
      <c r="H53" s="2214"/>
      <c r="I53" s="2215"/>
      <c r="J53" s="4260"/>
      <c r="K53" s="4263"/>
      <c r="L53" s="4266"/>
      <c r="M53" s="4296"/>
      <c r="N53" s="4266"/>
      <c r="O53" s="4266"/>
      <c r="P53" s="4263"/>
      <c r="Q53" s="4299"/>
      <c r="R53" s="4302"/>
      <c r="S53" s="4263"/>
      <c r="T53" s="4263"/>
      <c r="U53" s="2171" t="s">
        <v>1932</v>
      </c>
      <c r="V53" s="2212">
        <v>5000000</v>
      </c>
      <c r="W53" s="2173">
        <v>61</v>
      </c>
      <c r="X53" s="2213" t="s">
        <v>1868</v>
      </c>
      <c r="Y53" s="3611"/>
      <c r="Z53" s="3611"/>
      <c r="AA53" s="3611"/>
      <c r="AB53" s="3611"/>
      <c r="AC53" s="3611"/>
      <c r="AD53" s="3611"/>
      <c r="AE53" s="3611"/>
      <c r="AF53" s="3611"/>
      <c r="AG53" s="3611"/>
      <c r="AH53" s="3611"/>
      <c r="AI53" s="3611"/>
      <c r="AJ53" s="3611"/>
      <c r="AK53" s="3611"/>
      <c r="AL53" s="3611"/>
      <c r="AM53" s="3611"/>
      <c r="AN53" s="3611"/>
      <c r="AO53" s="4286"/>
      <c r="AP53" s="4286"/>
      <c r="AQ53" s="4286"/>
    </row>
    <row r="54" spans="1:43" ht="45" x14ac:dyDescent="0.2">
      <c r="A54" s="1243"/>
      <c r="B54" s="2158"/>
      <c r="C54" s="1245"/>
      <c r="D54" s="2158"/>
      <c r="E54" s="1245"/>
      <c r="F54" s="2209"/>
      <c r="G54" s="2214"/>
      <c r="H54" s="2214"/>
      <c r="I54" s="2215"/>
      <c r="J54" s="4260"/>
      <c r="K54" s="4263"/>
      <c r="L54" s="4266"/>
      <c r="M54" s="4296"/>
      <c r="N54" s="4266"/>
      <c r="O54" s="4266"/>
      <c r="P54" s="4263"/>
      <c r="Q54" s="4299"/>
      <c r="R54" s="4302"/>
      <c r="S54" s="4263"/>
      <c r="T54" s="4263"/>
      <c r="U54" s="2171" t="s">
        <v>1933</v>
      </c>
      <c r="V54" s="2212">
        <v>5000000</v>
      </c>
      <c r="W54" s="2173">
        <v>61</v>
      </c>
      <c r="X54" s="2213" t="s">
        <v>1868</v>
      </c>
      <c r="Y54" s="3611"/>
      <c r="Z54" s="3611"/>
      <c r="AA54" s="3611"/>
      <c r="AB54" s="3611"/>
      <c r="AC54" s="3611"/>
      <c r="AD54" s="3611"/>
      <c r="AE54" s="3611"/>
      <c r="AF54" s="3611"/>
      <c r="AG54" s="3611"/>
      <c r="AH54" s="3611"/>
      <c r="AI54" s="3611"/>
      <c r="AJ54" s="3611"/>
      <c r="AK54" s="3611"/>
      <c r="AL54" s="3611"/>
      <c r="AM54" s="3611"/>
      <c r="AN54" s="3611"/>
      <c r="AO54" s="4286"/>
      <c r="AP54" s="4286"/>
      <c r="AQ54" s="4286"/>
    </row>
    <row r="55" spans="1:43" ht="30" x14ac:dyDescent="0.2">
      <c r="A55" s="1243"/>
      <c r="B55" s="2158"/>
      <c r="C55" s="1245"/>
      <c r="D55" s="2158"/>
      <c r="E55" s="1245"/>
      <c r="F55" s="2209"/>
      <c r="G55" s="2214"/>
      <c r="H55" s="2214"/>
      <c r="I55" s="2215"/>
      <c r="J55" s="4260"/>
      <c r="K55" s="4263"/>
      <c r="L55" s="4266"/>
      <c r="M55" s="4296"/>
      <c r="N55" s="4266"/>
      <c r="O55" s="4266"/>
      <c r="P55" s="4263"/>
      <c r="Q55" s="4299"/>
      <c r="R55" s="4302"/>
      <c r="S55" s="4263"/>
      <c r="T55" s="4263"/>
      <c r="U55" s="2171" t="s">
        <v>1934</v>
      </c>
      <c r="V55" s="2212">
        <v>5000000</v>
      </c>
      <c r="W55" s="2173">
        <v>61</v>
      </c>
      <c r="X55" s="2213" t="s">
        <v>1868</v>
      </c>
      <c r="Y55" s="3611"/>
      <c r="Z55" s="3611"/>
      <c r="AA55" s="3611"/>
      <c r="AB55" s="3611"/>
      <c r="AC55" s="3611"/>
      <c r="AD55" s="3611"/>
      <c r="AE55" s="3611"/>
      <c r="AF55" s="3611"/>
      <c r="AG55" s="3611"/>
      <c r="AH55" s="3611"/>
      <c r="AI55" s="3611"/>
      <c r="AJ55" s="3611"/>
      <c r="AK55" s="3611"/>
      <c r="AL55" s="3611"/>
      <c r="AM55" s="3611"/>
      <c r="AN55" s="3611"/>
      <c r="AO55" s="4286"/>
      <c r="AP55" s="4286"/>
      <c r="AQ55" s="4286"/>
    </row>
    <row r="56" spans="1:43" ht="45" x14ac:dyDescent="0.2">
      <c r="A56" s="1243"/>
      <c r="B56" s="2158"/>
      <c r="C56" s="1245"/>
      <c r="D56" s="2158"/>
      <c r="E56" s="1245"/>
      <c r="F56" s="2209"/>
      <c r="G56" s="2214"/>
      <c r="H56" s="2214"/>
      <c r="I56" s="2215"/>
      <c r="J56" s="4260"/>
      <c r="K56" s="4263"/>
      <c r="L56" s="4266"/>
      <c r="M56" s="4296"/>
      <c r="N56" s="4266"/>
      <c r="O56" s="4266"/>
      <c r="P56" s="4263"/>
      <c r="Q56" s="4299"/>
      <c r="R56" s="4302"/>
      <c r="S56" s="4263"/>
      <c r="T56" s="4263"/>
      <c r="U56" s="2171" t="s">
        <v>1928</v>
      </c>
      <c r="V56" s="2212">
        <v>5000000</v>
      </c>
      <c r="W56" s="2173">
        <v>61</v>
      </c>
      <c r="X56" s="2213" t="s">
        <v>1868</v>
      </c>
      <c r="Y56" s="3611"/>
      <c r="Z56" s="3611"/>
      <c r="AA56" s="3611"/>
      <c r="AB56" s="3611"/>
      <c r="AC56" s="3611"/>
      <c r="AD56" s="3611"/>
      <c r="AE56" s="3611"/>
      <c r="AF56" s="3611"/>
      <c r="AG56" s="3611"/>
      <c r="AH56" s="3611"/>
      <c r="AI56" s="3611"/>
      <c r="AJ56" s="3611"/>
      <c r="AK56" s="3611"/>
      <c r="AL56" s="3611"/>
      <c r="AM56" s="3611"/>
      <c r="AN56" s="3611"/>
      <c r="AO56" s="4286"/>
      <c r="AP56" s="4286"/>
      <c r="AQ56" s="4286"/>
    </row>
    <row r="57" spans="1:43" ht="30" x14ac:dyDescent="0.2">
      <c r="A57" s="1243"/>
      <c r="B57" s="2158"/>
      <c r="C57" s="1245"/>
      <c r="D57" s="2158"/>
      <c r="E57" s="1245"/>
      <c r="F57" s="2209"/>
      <c r="G57" s="2214"/>
      <c r="H57" s="2214"/>
      <c r="I57" s="2215"/>
      <c r="J57" s="4260"/>
      <c r="K57" s="4263"/>
      <c r="L57" s="4266"/>
      <c r="M57" s="4296"/>
      <c r="N57" s="4266"/>
      <c r="O57" s="4266"/>
      <c r="P57" s="4263"/>
      <c r="Q57" s="4299"/>
      <c r="R57" s="4302"/>
      <c r="S57" s="4263"/>
      <c r="T57" s="4263"/>
      <c r="U57" s="2171" t="s">
        <v>1927</v>
      </c>
      <c r="V57" s="2212">
        <v>5000000</v>
      </c>
      <c r="W57" s="2173">
        <v>61</v>
      </c>
      <c r="X57" s="2213" t="s">
        <v>1868</v>
      </c>
      <c r="Y57" s="3611"/>
      <c r="Z57" s="3611"/>
      <c r="AA57" s="3611"/>
      <c r="AB57" s="3611"/>
      <c r="AC57" s="3611"/>
      <c r="AD57" s="3611"/>
      <c r="AE57" s="3611"/>
      <c r="AF57" s="3611"/>
      <c r="AG57" s="3611"/>
      <c r="AH57" s="3611"/>
      <c r="AI57" s="3611"/>
      <c r="AJ57" s="3611"/>
      <c r="AK57" s="3611"/>
      <c r="AL57" s="3611"/>
      <c r="AM57" s="3611"/>
      <c r="AN57" s="3611"/>
      <c r="AO57" s="4286"/>
      <c r="AP57" s="4286"/>
      <c r="AQ57" s="4286"/>
    </row>
    <row r="58" spans="1:43" ht="45" x14ac:dyDescent="0.2">
      <c r="A58" s="1243"/>
      <c r="B58" s="2158"/>
      <c r="C58" s="1245"/>
      <c r="D58" s="2158"/>
      <c r="E58" s="1245"/>
      <c r="F58" s="2209"/>
      <c r="G58" s="2214"/>
      <c r="H58" s="2214"/>
      <c r="I58" s="2215"/>
      <c r="J58" s="4261"/>
      <c r="K58" s="4264"/>
      <c r="L58" s="4267"/>
      <c r="M58" s="4297"/>
      <c r="N58" s="4266"/>
      <c r="O58" s="4266"/>
      <c r="P58" s="4263"/>
      <c r="Q58" s="4300"/>
      <c r="R58" s="4302"/>
      <c r="S58" s="4263"/>
      <c r="T58" s="4263"/>
      <c r="U58" s="2171" t="s">
        <v>1935</v>
      </c>
      <c r="V58" s="2212">
        <v>5000000</v>
      </c>
      <c r="W58" s="2173">
        <v>61</v>
      </c>
      <c r="X58" s="2213" t="s">
        <v>1868</v>
      </c>
      <c r="Y58" s="3611"/>
      <c r="Z58" s="3611"/>
      <c r="AA58" s="3611"/>
      <c r="AB58" s="3611"/>
      <c r="AC58" s="3611"/>
      <c r="AD58" s="3611"/>
      <c r="AE58" s="3611"/>
      <c r="AF58" s="3611"/>
      <c r="AG58" s="3611"/>
      <c r="AH58" s="3611"/>
      <c r="AI58" s="3611"/>
      <c r="AJ58" s="3611"/>
      <c r="AK58" s="3611"/>
      <c r="AL58" s="3611"/>
      <c r="AM58" s="3611"/>
      <c r="AN58" s="3611"/>
      <c r="AO58" s="4286"/>
      <c r="AP58" s="4286"/>
      <c r="AQ58" s="4286"/>
    </row>
    <row r="59" spans="1:43" ht="102" customHeight="1" x14ac:dyDescent="0.2">
      <c r="A59" s="1243"/>
      <c r="B59" s="2158"/>
      <c r="C59" s="1245"/>
      <c r="D59" s="2158"/>
      <c r="E59" s="1245"/>
      <c r="F59" s="2209"/>
      <c r="G59" s="2214"/>
      <c r="H59" s="2214"/>
      <c r="I59" s="2215"/>
      <c r="J59" s="4259">
        <v>135</v>
      </c>
      <c r="K59" s="4262" t="s">
        <v>1936</v>
      </c>
      <c r="L59" s="4265" t="s">
        <v>1861</v>
      </c>
      <c r="M59" s="4295">
        <v>12</v>
      </c>
      <c r="N59" s="4266"/>
      <c r="O59" s="4266"/>
      <c r="P59" s="4263"/>
      <c r="Q59" s="4298">
        <f>+(V59+V60+V61+V62+V63)/R38</f>
        <v>0.21621621621621623</v>
      </c>
      <c r="R59" s="4302"/>
      <c r="S59" s="4263"/>
      <c r="T59" s="4263"/>
      <c r="U59" s="2171" t="s">
        <v>1937</v>
      </c>
      <c r="V59" s="2212">
        <v>8000000</v>
      </c>
      <c r="W59" s="2173">
        <v>61</v>
      </c>
      <c r="X59" s="2213" t="s">
        <v>1868</v>
      </c>
      <c r="Y59" s="3611"/>
      <c r="Z59" s="3611"/>
      <c r="AA59" s="3611"/>
      <c r="AB59" s="3611"/>
      <c r="AC59" s="3611"/>
      <c r="AD59" s="3611"/>
      <c r="AE59" s="3611"/>
      <c r="AF59" s="3611"/>
      <c r="AG59" s="3611"/>
      <c r="AH59" s="3611"/>
      <c r="AI59" s="3611"/>
      <c r="AJ59" s="3611"/>
      <c r="AK59" s="3611"/>
      <c r="AL59" s="3611"/>
      <c r="AM59" s="3611"/>
      <c r="AN59" s="3611"/>
      <c r="AO59" s="4286"/>
      <c r="AP59" s="4286"/>
      <c r="AQ59" s="4286"/>
    </row>
    <row r="60" spans="1:43" ht="60" x14ac:dyDescent="0.2">
      <c r="A60" s="1243"/>
      <c r="B60" s="2158"/>
      <c r="C60" s="1245"/>
      <c r="D60" s="2158"/>
      <c r="E60" s="1245"/>
      <c r="F60" s="2209"/>
      <c r="G60" s="2214"/>
      <c r="H60" s="2214"/>
      <c r="I60" s="2215"/>
      <c r="J60" s="4260"/>
      <c r="K60" s="4263"/>
      <c r="L60" s="4266"/>
      <c r="M60" s="4296"/>
      <c r="N60" s="4266"/>
      <c r="O60" s="4266"/>
      <c r="P60" s="4263"/>
      <c r="Q60" s="4299"/>
      <c r="R60" s="4302"/>
      <c r="S60" s="4263"/>
      <c r="T60" s="4263"/>
      <c r="U60" s="2171" t="s">
        <v>1938</v>
      </c>
      <c r="V60" s="2212">
        <v>10000000</v>
      </c>
      <c r="W60" s="2173">
        <v>61</v>
      </c>
      <c r="X60" s="2213" t="s">
        <v>1868</v>
      </c>
      <c r="Y60" s="3611"/>
      <c r="Z60" s="3611"/>
      <c r="AA60" s="3611"/>
      <c r="AB60" s="3611"/>
      <c r="AC60" s="3611"/>
      <c r="AD60" s="3611"/>
      <c r="AE60" s="3611"/>
      <c r="AF60" s="3611"/>
      <c r="AG60" s="3611"/>
      <c r="AH60" s="3611"/>
      <c r="AI60" s="3611"/>
      <c r="AJ60" s="3611"/>
      <c r="AK60" s="3611"/>
      <c r="AL60" s="3611"/>
      <c r="AM60" s="3611"/>
      <c r="AN60" s="3611"/>
      <c r="AO60" s="4286"/>
      <c r="AP60" s="4286"/>
      <c r="AQ60" s="4286"/>
    </row>
    <row r="61" spans="1:43" ht="45" x14ac:dyDescent="0.2">
      <c r="A61" s="1243"/>
      <c r="B61" s="2158"/>
      <c r="C61" s="1245"/>
      <c r="D61" s="2158"/>
      <c r="E61" s="1245"/>
      <c r="F61" s="2209"/>
      <c r="G61" s="2214"/>
      <c r="H61" s="2214"/>
      <c r="I61" s="2215"/>
      <c r="J61" s="4260"/>
      <c r="K61" s="4263"/>
      <c r="L61" s="4266"/>
      <c r="M61" s="4296"/>
      <c r="N61" s="4266"/>
      <c r="O61" s="4266"/>
      <c r="P61" s="4263"/>
      <c r="Q61" s="4299"/>
      <c r="R61" s="4302"/>
      <c r="S61" s="4263"/>
      <c r="T61" s="4263"/>
      <c r="U61" s="2171" t="s">
        <v>1939</v>
      </c>
      <c r="V61" s="2212">
        <v>4000000</v>
      </c>
      <c r="W61" s="2173">
        <v>61</v>
      </c>
      <c r="X61" s="2213" t="s">
        <v>1868</v>
      </c>
      <c r="Y61" s="3611"/>
      <c r="Z61" s="3611"/>
      <c r="AA61" s="3611"/>
      <c r="AB61" s="3611"/>
      <c r="AC61" s="3611"/>
      <c r="AD61" s="3611"/>
      <c r="AE61" s="3611"/>
      <c r="AF61" s="3611"/>
      <c r="AG61" s="3611"/>
      <c r="AH61" s="3611"/>
      <c r="AI61" s="3611"/>
      <c r="AJ61" s="3611"/>
      <c r="AK61" s="3611"/>
      <c r="AL61" s="3611"/>
      <c r="AM61" s="3611"/>
      <c r="AN61" s="3611"/>
      <c r="AO61" s="4286"/>
      <c r="AP61" s="4286"/>
      <c r="AQ61" s="4286"/>
    </row>
    <row r="62" spans="1:43" ht="45" x14ac:dyDescent="0.2">
      <c r="A62" s="1243"/>
      <c r="B62" s="2158"/>
      <c r="C62" s="1245"/>
      <c r="D62" s="2158"/>
      <c r="E62" s="1245"/>
      <c r="F62" s="2209"/>
      <c r="G62" s="2214"/>
      <c r="H62" s="2214"/>
      <c r="I62" s="2215"/>
      <c r="J62" s="4260"/>
      <c r="K62" s="4263"/>
      <c r="L62" s="4266"/>
      <c r="M62" s="4296"/>
      <c r="N62" s="4266"/>
      <c r="O62" s="4266"/>
      <c r="P62" s="4263"/>
      <c r="Q62" s="4299"/>
      <c r="R62" s="4302"/>
      <c r="S62" s="4263"/>
      <c r="T62" s="4263"/>
      <c r="U62" s="2171" t="s">
        <v>1940</v>
      </c>
      <c r="V62" s="2212">
        <v>6000000</v>
      </c>
      <c r="W62" s="2173">
        <v>61</v>
      </c>
      <c r="X62" s="2213" t="s">
        <v>1868</v>
      </c>
      <c r="Y62" s="3611"/>
      <c r="Z62" s="3611"/>
      <c r="AA62" s="3611"/>
      <c r="AB62" s="3611"/>
      <c r="AC62" s="3611"/>
      <c r="AD62" s="3611"/>
      <c r="AE62" s="3611"/>
      <c r="AF62" s="3611"/>
      <c r="AG62" s="3611"/>
      <c r="AH62" s="3611"/>
      <c r="AI62" s="3611"/>
      <c r="AJ62" s="3611"/>
      <c r="AK62" s="3611"/>
      <c r="AL62" s="3611"/>
      <c r="AM62" s="3611"/>
      <c r="AN62" s="3611"/>
      <c r="AO62" s="4286"/>
      <c r="AP62" s="4286"/>
      <c r="AQ62" s="4286"/>
    </row>
    <row r="63" spans="1:43" ht="54.75" customHeight="1" x14ac:dyDescent="0.2">
      <c r="A63" s="1243"/>
      <c r="B63" s="2158"/>
      <c r="C63" s="1245"/>
      <c r="D63" s="2158"/>
      <c r="E63" s="1245"/>
      <c r="F63" s="2209"/>
      <c r="G63" s="2216"/>
      <c r="H63" s="2216"/>
      <c r="I63" s="2217"/>
      <c r="J63" s="4261"/>
      <c r="K63" s="4264"/>
      <c r="L63" s="4267"/>
      <c r="M63" s="4297"/>
      <c r="N63" s="4267"/>
      <c r="O63" s="4267"/>
      <c r="P63" s="4264"/>
      <c r="Q63" s="4300"/>
      <c r="R63" s="4303"/>
      <c r="S63" s="4264"/>
      <c r="T63" s="4264"/>
      <c r="U63" s="2171" t="s">
        <v>1941</v>
      </c>
      <c r="V63" s="2212">
        <v>4000000</v>
      </c>
      <c r="W63" s="2173">
        <v>61</v>
      </c>
      <c r="X63" s="2213" t="s">
        <v>1868</v>
      </c>
      <c r="Y63" s="3612"/>
      <c r="Z63" s="3612"/>
      <c r="AA63" s="3612"/>
      <c r="AB63" s="3612"/>
      <c r="AC63" s="3612"/>
      <c r="AD63" s="3612"/>
      <c r="AE63" s="3612"/>
      <c r="AF63" s="3612"/>
      <c r="AG63" s="3612"/>
      <c r="AH63" s="3612"/>
      <c r="AI63" s="3612"/>
      <c r="AJ63" s="3612"/>
      <c r="AK63" s="3612"/>
      <c r="AL63" s="3612"/>
      <c r="AM63" s="3612"/>
      <c r="AN63" s="3612"/>
      <c r="AO63" s="4287"/>
      <c r="AP63" s="4287"/>
      <c r="AQ63" s="4287"/>
    </row>
    <row r="64" spans="1:43" ht="15" customHeight="1" x14ac:dyDescent="0.2">
      <c r="A64" s="1243"/>
      <c r="B64" s="2158"/>
      <c r="C64" s="1245"/>
      <c r="D64" s="2158"/>
      <c r="E64" s="1245"/>
      <c r="F64" s="2207"/>
      <c r="G64" s="2218">
        <v>38</v>
      </c>
      <c r="H64" s="2160" t="s">
        <v>1942</v>
      </c>
      <c r="I64" s="2160"/>
      <c r="J64" s="2160"/>
      <c r="K64" s="2195"/>
      <c r="L64" s="2160"/>
      <c r="M64" s="2196"/>
      <c r="N64" s="2160"/>
      <c r="O64" s="2160"/>
      <c r="P64" s="2160"/>
      <c r="Q64" s="2160"/>
      <c r="R64" s="2160"/>
      <c r="S64" s="2160"/>
      <c r="T64" s="2195"/>
      <c r="U64" s="2195"/>
      <c r="V64" s="2198"/>
      <c r="W64" s="2160"/>
      <c r="X64" s="2200"/>
      <c r="Y64" s="2160"/>
      <c r="Z64" s="2160"/>
      <c r="AA64" s="2160"/>
      <c r="AB64" s="2160"/>
      <c r="AC64" s="2160"/>
      <c r="AD64" s="2160"/>
      <c r="AE64" s="2160"/>
      <c r="AF64" s="2160"/>
      <c r="AG64" s="2160"/>
      <c r="AH64" s="2160"/>
      <c r="AI64" s="2160"/>
      <c r="AJ64" s="2160"/>
      <c r="AK64" s="2160"/>
      <c r="AL64" s="2160"/>
      <c r="AM64" s="2160"/>
      <c r="AN64" s="2160"/>
      <c r="AO64" s="2160"/>
      <c r="AP64" s="2160"/>
      <c r="AQ64" s="2219"/>
    </row>
    <row r="65" spans="1:43" ht="120" customHeight="1" x14ac:dyDescent="0.2">
      <c r="A65" s="1243"/>
      <c r="B65" s="2158"/>
      <c r="C65" s="1245"/>
      <c r="D65" s="2158"/>
      <c r="E65" s="1245"/>
      <c r="F65" s="2209"/>
      <c r="G65" s="2169"/>
      <c r="H65" s="2169"/>
      <c r="I65" s="2169"/>
      <c r="J65" s="4259">
        <v>136</v>
      </c>
      <c r="K65" s="4262" t="s">
        <v>1943</v>
      </c>
      <c r="L65" s="4265" t="s">
        <v>1861</v>
      </c>
      <c r="M65" s="4295">
        <v>12</v>
      </c>
      <c r="N65" s="4265" t="s">
        <v>1944</v>
      </c>
      <c r="O65" s="4265" t="s">
        <v>1945</v>
      </c>
      <c r="P65" s="4262" t="s">
        <v>1946</v>
      </c>
      <c r="Q65" s="4276">
        <f>+(V65+V66+V67+V68+V69+V70+V71+V72+V73)/R65</f>
        <v>0.25</v>
      </c>
      <c r="R65" s="4301">
        <f>SUM(V65:V83)</f>
        <v>112000000</v>
      </c>
      <c r="S65" s="4262" t="s">
        <v>1947</v>
      </c>
      <c r="T65" s="4262" t="s">
        <v>1948</v>
      </c>
      <c r="U65" s="2220" t="s">
        <v>1949</v>
      </c>
      <c r="V65" s="2221">
        <v>3000000</v>
      </c>
      <c r="W65" s="2173">
        <v>61</v>
      </c>
      <c r="X65" s="2213" t="s">
        <v>1868</v>
      </c>
      <c r="Y65" s="4313">
        <v>292684</v>
      </c>
      <c r="Z65" s="4313">
        <v>282326</v>
      </c>
      <c r="AA65" s="4313">
        <v>135912</v>
      </c>
      <c r="AB65" s="4313">
        <v>45122</v>
      </c>
      <c r="AC65" s="4313">
        <v>307101</v>
      </c>
      <c r="AD65" s="4313">
        <v>86875</v>
      </c>
      <c r="AE65" s="4313">
        <v>2145</v>
      </c>
      <c r="AF65" s="4313">
        <v>12718</v>
      </c>
      <c r="AG65" s="4313">
        <v>26</v>
      </c>
      <c r="AH65" s="4313">
        <v>37</v>
      </c>
      <c r="AI65" s="4313" t="s">
        <v>1869</v>
      </c>
      <c r="AJ65" s="4313" t="s">
        <v>1869</v>
      </c>
      <c r="AK65" s="4313">
        <v>53164</v>
      </c>
      <c r="AL65" s="4313">
        <v>16982</v>
      </c>
      <c r="AM65" s="4313">
        <v>60013</v>
      </c>
      <c r="AN65" s="4313">
        <v>575010</v>
      </c>
      <c r="AO65" s="4285">
        <v>43466</v>
      </c>
      <c r="AP65" s="4285">
        <v>43830</v>
      </c>
      <c r="AQ65" s="4285" t="s">
        <v>1870</v>
      </c>
    </row>
    <row r="66" spans="1:43" ht="45" x14ac:dyDescent="0.2">
      <c r="A66" s="1243"/>
      <c r="B66" s="2158"/>
      <c r="C66" s="1245"/>
      <c r="D66" s="2158"/>
      <c r="E66" s="1245"/>
      <c r="F66" s="2209"/>
      <c r="G66" s="2165"/>
      <c r="H66" s="2165"/>
      <c r="I66" s="2165"/>
      <c r="J66" s="4260"/>
      <c r="K66" s="4263"/>
      <c r="L66" s="4266"/>
      <c r="M66" s="4296"/>
      <c r="N66" s="4266"/>
      <c r="O66" s="4266"/>
      <c r="P66" s="4263"/>
      <c r="Q66" s="4277"/>
      <c r="R66" s="4302"/>
      <c r="S66" s="4263"/>
      <c r="T66" s="4263"/>
      <c r="U66" s="2220" t="s">
        <v>1950</v>
      </c>
      <c r="V66" s="2221">
        <v>3000000</v>
      </c>
      <c r="W66" s="2173">
        <v>61</v>
      </c>
      <c r="X66" s="2213" t="s">
        <v>1868</v>
      </c>
      <c r="Y66" s="4314"/>
      <c r="Z66" s="4314"/>
      <c r="AA66" s="4314"/>
      <c r="AB66" s="4314"/>
      <c r="AC66" s="4314"/>
      <c r="AD66" s="4314"/>
      <c r="AE66" s="4314"/>
      <c r="AF66" s="4314"/>
      <c r="AG66" s="4314"/>
      <c r="AH66" s="4314"/>
      <c r="AI66" s="4314"/>
      <c r="AJ66" s="4314"/>
      <c r="AK66" s="4314"/>
      <c r="AL66" s="4314"/>
      <c r="AM66" s="4314"/>
      <c r="AN66" s="4314"/>
      <c r="AO66" s="4286"/>
      <c r="AP66" s="4286"/>
      <c r="AQ66" s="4286"/>
    </row>
    <row r="67" spans="1:43" ht="45" x14ac:dyDescent="0.2">
      <c r="A67" s="1243"/>
      <c r="B67" s="2158"/>
      <c r="C67" s="1245"/>
      <c r="D67" s="2158"/>
      <c r="E67" s="1245"/>
      <c r="F67" s="2209"/>
      <c r="G67" s="2165"/>
      <c r="H67" s="2165"/>
      <c r="I67" s="2165"/>
      <c r="J67" s="4260"/>
      <c r="K67" s="4263"/>
      <c r="L67" s="4266"/>
      <c r="M67" s="4296"/>
      <c r="N67" s="4266"/>
      <c r="O67" s="4266"/>
      <c r="P67" s="4263"/>
      <c r="Q67" s="4277"/>
      <c r="R67" s="4302"/>
      <c r="S67" s="4263"/>
      <c r="T67" s="4263"/>
      <c r="U67" s="2220" t="s">
        <v>1951</v>
      </c>
      <c r="V67" s="2221">
        <v>3000000</v>
      </c>
      <c r="W67" s="2173">
        <v>61</v>
      </c>
      <c r="X67" s="2213" t="s">
        <v>1868</v>
      </c>
      <c r="Y67" s="4314"/>
      <c r="Z67" s="4314"/>
      <c r="AA67" s="4314"/>
      <c r="AB67" s="4314"/>
      <c r="AC67" s="4314"/>
      <c r="AD67" s="4314"/>
      <c r="AE67" s="4314"/>
      <c r="AF67" s="4314"/>
      <c r="AG67" s="4314"/>
      <c r="AH67" s="4314"/>
      <c r="AI67" s="4314"/>
      <c r="AJ67" s="4314"/>
      <c r="AK67" s="4314"/>
      <c r="AL67" s="4314"/>
      <c r="AM67" s="4314"/>
      <c r="AN67" s="4314"/>
      <c r="AO67" s="4286"/>
      <c r="AP67" s="4286"/>
      <c r="AQ67" s="4286"/>
    </row>
    <row r="68" spans="1:43" ht="45" x14ac:dyDescent="0.2">
      <c r="A68" s="1243"/>
      <c r="B68" s="2158"/>
      <c r="C68" s="1245"/>
      <c r="D68" s="2158"/>
      <c r="E68" s="1245"/>
      <c r="F68" s="2209"/>
      <c r="G68" s="2165"/>
      <c r="H68" s="2165"/>
      <c r="I68" s="2165"/>
      <c r="J68" s="4260"/>
      <c r="K68" s="4263"/>
      <c r="L68" s="4266"/>
      <c r="M68" s="4296"/>
      <c r="N68" s="4266"/>
      <c r="O68" s="4266"/>
      <c r="P68" s="4263"/>
      <c r="Q68" s="4277"/>
      <c r="R68" s="4302"/>
      <c r="S68" s="4263"/>
      <c r="T68" s="4263"/>
      <c r="U68" s="2220" t="s">
        <v>1952</v>
      </c>
      <c r="V68" s="2221">
        <v>3000000</v>
      </c>
      <c r="W68" s="2173">
        <v>61</v>
      </c>
      <c r="X68" s="2213" t="s">
        <v>1868</v>
      </c>
      <c r="Y68" s="4314"/>
      <c r="Z68" s="4314"/>
      <c r="AA68" s="4314"/>
      <c r="AB68" s="4314"/>
      <c r="AC68" s="4314"/>
      <c r="AD68" s="4314"/>
      <c r="AE68" s="4314"/>
      <c r="AF68" s="4314"/>
      <c r="AG68" s="4314"/>
      <c r="AH68" s="4314"/>
      <c r="AI68" s="4314"/>
      <c r="AJ68" s="4314"/>
      <c r="AK68" s="4314"/>
      <c r="AL68" s="4314"/>
      <c r="AM68" s="4314"/>
      <c r="AN68" s="4314"/>
      <c r="AO68" s="4286"/>
      <c r="AP68" s="4286"/>
      <c r="AQ68" s="4286"/>
    </row>
    <row r="69" spans="1:43" ht="60" x14ac:dyDescent="0.2">
      <c r="A69" s="1243"/>
      <c r="B69" s="2158"/>
      <c r="C69" s="1245"/>
      <c r="D69" s="2158"/>
      <c r="E69" s="1245"/>
      <c r="F69" s="2209"/>
      <c r="G69" s="2165"/>
      <c r="H69" s="2165"/>
      <c r="I69" s="2165"/>
      <c r="J69" s="4260"/>
      <c r="K69" s="4263"/>
      <c r="L69" s="4266"/>
      <c r="M69" s="4296"/>
      <c r="N69" s="4266"/>
      <c r="O69" s="4266"/>
      <c r="P69" s="4263"/>
      <c r="Q69" s="4277"/>
      <c r="R69" s="4302"/>
      <c r="S69" s="4263"/>
      <c r="T69" s="4263"/>
      <c r="U69" s="2220" t="s">
        <v>1953</v>
      </c>
      <c r="V69" s="2221">
        <v>3000000</v>
      </c>
      <c r="W69" s="2173">
        <v>61</v>
      </c>
      <c r="X69" s="2213" t="s">
        <v>1868</v>
      </c>
      <c r="Y69" s="4314"/>
      <c r="Z69" s="4314"/>
      <c r="AA69" s="4314"/>
      <c r="AB69" s="4314"/>
      <c r="AC69" s="4314"/>
      <c r="AD69" s="4314"/>
      <c r="AE69" s="4314"/>
      <c r="AF69" s="4314"/>
      <c r="AG69" s="4314"/>
      <c r="AH69" s="4314"/>
      <c r="AI69" s="4314"/>
      <c r="AJ69" s="4314"/>
      <c r="AK69" s="4314"/>
      <c r="AL69" s="4314"/>
      <c r="AM69" s="4314"/>
      <c r="AN69" s="4314"/>
      <c r="AO69" s="4286"/>
      <c r="AP69" s="4286"/>
      <c r="AQ69" s="4286"/>
    </row>
    <row r="70" spans="1:43" ht="75" x14ac:dyDescent="0.2">
      <c r="A70" s="1243"/>
      <c r="B70" s="2158"/>
      <c r="C70" s="1245"/>
      <c r="D70" s="2158"/>
      <c r="E70" s="1245"/>
      <c r="F70" s="2209"/>
      <c r="G70" s="2165"/>
      <c r="H70" s="2165"/>
      <c r="I70" s="2165"/>
      <c r="J70" s="4260"/>
      <c r="K70" s="4263"/>
      <c r="L70" s="4266"/>
      <c r="M70" s="4296"/>
      <c r="N70" s="4266"/>
      <c r="O70" s="4266"/>
      <c r="P70" s="4263"/>
      <c r="Q70" s="4277"/>
      <c r="R70" s="4302"/>
      <c r="S70" s="4263"/>
      <c r="T70" s="4263"/>
      <c r="U70" s="2220" t="s">
        <v>1954</v>
      </c>
      <c r="V70" s="2221">
        <v>3000000</v>
      </c>
      <c r="W70" s="2173">
        <v>61</v>
      </c>
      <c r="X70" s="2213" t="s">
        <v>1868</v>
      </c>
      <c r="Y70" s="4314"/>
      <c r="Z70" s="4314"/>
      <c r="AA70" s="4314"/>
      <c r="AB70" s="4314"/>
      <c r="AC70" s="4314"/>
      <c r="AD70" s="4314"/>
      <c r="AE70" s="4314"/>
      <c r="AF70" s="4314"/>
      <c r="AG70" s="4314"/>
      <c r="AH70" s="4314"/>
      <c r="AI70" s="4314"/>
      <c r="AJ70" s="4314"/>
      <c r="AK70" s="4314"/>
      <c r="AL70" s="4314"/>
      <c r="AM70" s="4314"/>
      <c r="AN70" s="4314"/>
      <c r="AO70" s="4286"/>
      <c r="AP70" s="4286"/>
      <c r="AQ70" s="4286"/>
    </row>
    <row r="71" spans="1:43" ht="45" x14ac:dyDescent="0.2">
      <c r="A71" s="1243"/>
      <c r="B71" s="2158"/>
      <c r="C71" s="1245"/>
      <c r="D71" s="2158"/>
      <c r="E71" s="1245"/>
      <c r="F71" s="2209"/>
      <c r="G71" s="2165"/>
      <c r="H71" s="2165"/>
      <c r="I71" s="2165"/>
      <c r="J71" s="4260"/>
      <c r="K71" s="4263"/>
      <c r="L71" s="4266"/>
      <c r="M71" s="4296"/>
      <c r="N71" s="4266"/>
      <c r="O71" s="4266"/>
      <c r="P71" s="4263"/>
      <c r="Q71" s="4277"/>
      <c r="R71" s="4302"/>
      <c r="S71" s="4263"/>
      <c r="T71" s="4263"/>
      <c r="U71" s="2220" t="s">
        <v>1955</v>
      </c>
      <c r="V71" s="2221">
        <v>3000000</v>
      </c>
      <c r="W71" s="2173">
        <v>61</v>
      </c>
      <c r="X71" s="2213" t="s">
        <v>1868</v>
      </c>
      <c r="Y71" s="4314"/>
      <c r="Z71" s="4314"/>
      <c r="AA71" s="4314"/>
      <c r="AB71" s="4314"/>
      <c r="AC71" s="4314"/>
      <c r="AD71" s="4314"/>
      <c r="AE71" s="4314"/>
      <c r="AF71" s="4314"/>
      <c r="AG71" s="4314"/>
      <c r="AH71" s="4314"/>
      <c r="AI71" s="4314"/>
      <c r="AJ71" s="4314"/>
      <c r="AK71" s="4314"/>
      <c r="AL71" s="4314"/>
      <c r="AM71" s="4314"/>
      <c r="AN71" s="4314"/>
      <c r="AO71" s="4286"/>
      <c r="AP71" s="4286"/>
      <c r="AQ71" s="4286"/>
    </row>
    <row r="72" spans="1:43" ht="30" x14ac:dyDescent="0.2">
      <c r="A72" s="1243"/>
      <c r="B72" s="2158"/>
      <c r="C72" s="1245"/>
      <c r="D72" s="2158"/>
      <c r="E72" s="1245"/>
      <c r="F72" s="2209"/>
      <c r="G72" s="2165"/>
      <c r="H72" s="2165"/>
      <c r="I72" s="2165"/>
      <c r="J72" s="4260"/>
      <c r="K72" s="4263"/>
      <c r="L72" s="4266"/>
      <c r="M72" s="4296"/>
      <c r="N72" s="4266"/>
      <c r="O72" s="4266"/>
      <c r="P72" s="4263"/>
      <c r="Q72" s="4277"/>
      <c r="R72" s="4302"/>
      <c r="S72" s="4263"/>
      <c r="T72" s="4263"/>
      <c r="U72" s="2220" t="s">
        <v>1956</v>
      </c>
      <c r="V72" s="2221">
        <v>3000000</v>
      </c>
      <c r="W72" s="2173">
        <v>61</v>
      </c>
      <c r="X72" s="2213" t="s">
        <v>1868</v>
      </c>
      <c r="Y72" s="4314"/>
      <c r="Z72" s="4314"/>
      <c r="AA72" s="4314"/>
      <c r="AB72" s="4314"/>
      <c r="AC72" s="4314"/>
      <c r="AD72" s="4314"/>
      <c r="AE72" s="4314"/>
      <c r="AF72" s="4314"/>
      <c r="AG72" s="4314"/>
      <c r="AH72" s="4314"/>
      <c r="AI72" s="4314"/>
      <c r="AJ72" s="4314"/>
      <c r="AK72" s="4314"/>
      <c r="AL72" s="4314"/>
      <c r="AM72" s="4314"/>
      <c r="AN72" s="4314"/>
      <c r="AO72" s="4286"/>
      <c r="AP72" s="4286"/>
      <c r="AQ72" s="4286"/>
    </row>
    <row r="73" spans="1:43" ht="60" x14ac:dyDescent="0.2">
      <c r="A73" s="1243"/>
      <c r="B73" s="2158"/>
      <c r="C73" s="1245"/>
      <c r="D73" s="2158"/>
      <c r="E73" s="1245"/>
      <c r="F73" s="2209"/>
      <c r="G73" s="2165"/>
      <c r="H73" s="2165"/>
      <c r="I73" s="2165"/>
      <c r="J73" s="4261"/>
      <c r="K73" s="4264"/>
      <c r="L73" s="4267"/>
      <c r="M73" s="4297"/>
      <c r="N73" s="4266"/>
      <c r="O73" s="4266"/>
      <c r="P73" s="4263"/>
      <c r="Q73" s="4278"/>
      <c r="R73" s="4302"/>
      <c r="S73" s="4263"/>
      <c r="T73" s="4263"/>
      <c r="U73" s="2220" t="s">
        <v>1957</v>
      </c>
      <c r="V73" s="2221">
        <v>4000000</v>
      </c>
      <c r="W73" s="2173">
        <v>61</v>
      </c>
      <c r="X73" s="2213" t="s">
        <v>1868</v>
      </c>
      <c r="Y73" s="4314"/>
      <c r="Z73" s="4314"/>
      <c r="AA73" s="4314"/>
      <c r="AB73" s="4314"/>
      <c r="AC73" s="4314"/>
      <c r="AD73" s="4314"/>
      <c r="AE73" s="4314"/>
      <c r="AF73" s="4314"/>
      <c r="AG73" s="4314"/>
      <c r="AH73" s="4314"/>
      <c r="AI73" s="4314"/>
      <c r="AJ73" s="4314"/>
      <c r="AK73" s="4314"/>
      <c r="AL73" s="4314"/>
      <c r="AM73" s="4314"/>
      <c r="AN73" s="4314"/>
      <c r="AO73" s="4286"/>
      <c r="AP73" s="4286"/>
      <c r="AQ73" s="4286"/>
    </row>
    <row r="74" spans="1:43" ht="75" customHeight="1" x14ac:dyDescent="0.2">
      <c r="A74" s="1243"/>
      <c r="B74" s="2158"/>
      <c r="C74" s="1245"/>
      <c r="D74" s="2158"/>
      <c r="E74" s="1245"/>
      <c r="F74" s="2209"/>
      <c r="G74" s="2165"/>
      <c r="H74" s="2165"/>
      <c r="I74" s="2165"/>
      <c r="J74" s="4307">
        <v>137</v>
      </c>
      <c r="K74" s="4262" t="s">
        <v>1958</v>
      </c>
      <c r="L74" s="4310" t="s">
        <v>1861</v>
      </c>
      <c r="M74" s="4295">
        <v>12</v>
      </c>
      <c r="N74" s="4266"/>
      <c r="O74" s="4266"/>
      <c r="P74" s="4263"/>
      <c r="Q74" s="4277">
        <f>+(V74+V75+V76+V77+V78)/R65</f>
        <v>0.5</v>
      </c>
      <c r="R74" s="4302"/>
      <c r="S74" s="4263"/>
      <c r="T74" s="4262" t="s">
        <v>1959</v>
      </c>
      <c r="U74" s="2220" t="s">
        <v>1960</v>
      </c>
      <c r="V74" s="2221">
        <v>11000000</v>
      </c>
      <c r="W74" s="2173">
        <v>61</v>
      </c>
      <c r="X74" s="2213" t="s">
        <v>1868</v>
      </c>
      <c r="Y74" s="4314"/>
      <c r="Z74" s="4314"/>
      <c r="AA74" s="4314"/>
      <c r="AB74" s="4314"/>
      <c r="AC74" s="4314"/>
      <c r="AD74" s="4314"/>
      <c r="AE74" s="4314"/>
      <c r="AF74" s="4314"/>
      <c r="AG74" s="4314"/>
      <c r="AH74" s="4314"/>
      <c r="AI74" s="4314"/>
      <c r="AJ74" s="4314"/>
      <c r="AK74" s="4314"/>
      <c r="AL74" s="4314"/>
      <c r="AM74" s="4314"/>
      <c r="AN74" s="4314"/>
      <c r="AO74" s="4286"/>
      <c r="AP74" s="4286"/>
      <c r="AQ74" s="4286"/>
    </row>
    <row r="75" spans="1:43" ht="60" x14ac:dyDescent="0.2">
      <c r="A75" s="1243"/>
      <c r="B75" s="2158"/>
      <c r="C75" s="1245"/>
      <c r="D75" s="2158"/>
      <c r="E75" s="1245"/>
      <c r="F75" s="2209"/>
      <c r="G75" s="2165"/>
      <c r="H75" s="2165"/>
      <c r="I75" s="2165"/>
      <c r="J75" s="4308"/>
      <c r="K75" s="4263"/>
      <c r="L75" s="4311"/>
      <c r="M75" s="4296"/>
      <c r="N75" s="4266"/>
      <c r="O75" s="4266"/>
      <c r="P75" s="4263"/>
      <c r="Q75" s="4277"/>
      <c r="R75" s="4302"/>
      <c r="S75" s="4263"/>
      <c r="T75" s="4263"/>
      <c r="U75" s="2220" t="s">
        <v>1961</v>
      </c>
      <c r="V75" s="2221">
        <v>11000000</v>
      </c>
      <c r="W75" s="2173">
        <v>61</v>
      </c>
      <c r="X75" s="2213" t="s">
        <v>1868</v>
      </c>
      <c r="Y75" s="4314"/>
      <c r="Z75" s="4314"/>
      <c r="AA75" s="4314"/>
      <c r="AB75" s="4314"/>
      <c r="AC75" s="4314"/>
      <c r="AD75" s="4314"/>
      <c r="AE75" s="4314"/>
      <c r="AF75" s="4314"/>
      <c r="AG75" s="4314"/>
      <c r="AH75" s="4314"/>
      <c r="AI75" s="4314"/>
      <c r="AJ75" s="4314"/>
      <c r="AK75" s="4314"/>
      <c r="AL75" s="4314"/>
      <c r="AM75" s="4314"/>
      <c r="AN75" s="4314"/>
      <c r="AO75" s="4286"/>
      <c r="AP75" s="4286"/>
      <c r="AQ75" s="4286"/>
    </row>
    <row r="76" spans="1:43" ht="75" customHeight="1" x14ac:dyDescent="0.2">
      <c r="A76" s="1243"/>
      <c r="B76" s="2158"/>
      <c r="C76" s="1245"/>
      <c r="D76" s="2158"/>
      <c r="E76" s="1245"/>
      <c r="F76" s="2209"/>
      <c r="G76" s="2165"/>
      <c r="H76" s="2165"/>
      <c r="I76" s="2165"/>
      <c r="J76" s="4308"/>
      <c r="K76" s="4263"/>
      <c r="L76" s="4311"/>
      <c r="M76" s="4296"/>
      <c r="N76" s="4266"/>
      <c r="O76" s="4266"/>
      <c r="P76" s="4263"/>
      <c r="Q76" s="4277"/>
      <c r="R76" s="4302"/>
      <c r="S76" s="4263"/>
      <c r="T76" s="4263"/>
      <c r="U76" s="2220" t="s">
        <v>1962</v>
      </c>
      <c r="V76" s="2221">
        <v>11000000</v>
      </c>
      <c r="W76" s="2173">
        <v>61</v>
      </c>
      <c r="X76" s="2213" t="s">
        <v>1868</v>
      </c>
      <c r="Y76" s="4314"/>
      <c r="Z76" s="4314"/>
      <c r="AA76" s="4314"/>
      <c r="AB76" s="4314"/>
      <c r="AC76" s="4314"/>
      <c r="AD76" s="4314"/>
      <c r="AE76" s="4314"/>
      <c r="AF76" s="4314"/>
      <c r="AG76" s="4314"/>
      <c r="AH76" s="4314"/>
      <c r="AI76" s="4314"/>
      <c r="AJ76" s="4314"/>
      <c r="AK76" s="4314"/>
      <c r="AL76" s="4314"/>
      <c r="AM76" s="4314"/>
      <c r="AN76" s="4314"/>
      <c r="AO76" s="4286"/>
      <c r="AP76" s="4286"/>
      <c r="AQ76" s="4286"/>
    </row>
    <row r="77" spans="1:43" ht="45" x14ac:dyDescent="0.2">
      <c r="A77" s="1243"/>
      <c r="B77" s="2158"/>
      <c r="C77" s="1245"/>
      <c r="D77" s="2158"/>
      <c r="E77" s="1245"/>
      <c r="F77" s="2209"/>
      <c r="G77" s="2165"/>
      <c r="H77" s="2165"/>
      <c r="I77" s="2165"/>
      <c r="J77" s="4308"/>
      <c r="K77" s="4263"/>
      <c r="L77" s="4311"/>
      <c r="M77" s="4296"/>
      <c r="N77" s="4266"/>
      <c r="O77" s="4266"/>
      <c r="P77" s="4263"/>
      <c r="Q77" s="4277"/>
      <c r="R77" s="4302"/>
      <c r="S77" s="4263"/>
      <c r="T77" s="4263"/>
      <c r="U77" s="2220" t="s">
        <v>1963</v>
      </c>
      <c r="V77" s="2221">
        <v>11000000</v>
      </c>
      <c r="W77" s="2173">
        <v>61</v>
      </c>
      <c r="X77" s="2213" t="s">
        <v>1868</v>
      </c>
      <c r="Y77" s="4314"/>
      <c r="Z77" s="4314"/>
      <c r="AA77" s="4314"/>
      <c r="AB77" s="4314"/>
      <c r="AC77" s="4314"/>
      <c r="AD77" s="4314"/>
      <c r="AE77" s="4314"/>
      <c r="AF77" s="4314"/>
      <c r="AG77" s="4314"/>
      <c r="AH77" s="4314"/>
      <c r="AI77" s="4314"/>
      <c r="AJ77" s="4314"/>
      <c r="AK77" s="4314"/>
      <c r="AL77" s="4314"/>
      <c r="AM77" s="4314"/>
      <c r="AN77" s="4314"/>
      <c r="AO77" s="4286"/>
      <c r="AP77" s="4286"/>
      <c r="AQ77" s="4286"/>
    </row>
    <row r="78" spans="1:43" ht="45" x14ac:dyDescent="0.2">
      <c r="A78" s="1243"/>
      <c r="B78" s="2158"/>
      <c r="C78" s="1245"/>
      <c r="D78" s="2158"/>
      <c r="E78" s="1245"/>
      <c r="F78" s="2209"/>
      <c r="G78" s="2165"/>
      <c r="H78" s="2165"/>
      <c r="I78" s="2165"/>
      <c r="J78" s="4309"/>
      <c r="K78" s="4264"/>
      <c r="L78" s="4312"/>
      <c r="M78" s="4297"/>
      <c r="N78" s="4266"/>
      <c r="O78" s="4266"/>
      <c r="P78" s="4263"/>
      <c r="Q78" s="4277"/>
      <c r="R78" s="4302"/>
      <c r="S78" s="4263"/>
      <c r="T78" s="4264"/>
      <c r="U78" s="2220" t="s">
        <v>1964</v>
      </c>
      <c r="V78" s="2221">
        <v>12000000</v>
      </c>
      <c r="W78" s="2173">
        <v>61</v>
      </c>
      <c r="X78" s="2213" t="s">
        <v>1868</v>
      </c>
      <c r="Y78" s="4314"/>
      <c r="Z78" s="4314"/>
      <c r="AA78" s="4314"/>
      <c r="AB78" s="4314"/>
      <c r="AC78" s="4314"/>
      <c r="AD78" s="4314"/>
      <c r="AE78" s="4314"/>
      <c r="AF78" s="4314"/>
      <c r="AG78" s="4314"/>
      <c r="AH78" s="4314"/>
      <c r="AI78" s="4314"/>
      <c r="AJ78" s="4314"/>
      <c r="AK78" s="4314"/>
      <c r="AL78" s="4314"/>
      <c r="AM78" s="4314"/>
      <c r="AN78" s="4314"/>
      <c r="AO78" s="4286"/>
      <c r="AP78" s="4286"/>
      <c r="AQ78" s="4286"/>
    </row>
    <row r="79" spans="1:43" ht="60" x14ac:dyDescent="0.2">
      <c r="A79" s="1243"/>
      <c r="B79" s="2158"/>
      <c r="C79" s="1245"/>
      <c r="D79" s="2158"/>
      <c r="E79" s="1245"/>
      <c r="F79" s="2209"/>
      <c r="G79" s="2165"/>
      <c r="H79" s="2165"/>
      <c r="I79" s="2165"/>
      <c r="J79" s="4307">
        <v>138</v>
      </c>
      <c r="K79" s="4316" t="s">
        <v>1965</v>
      </c>
      <c r="L79" s="4310" t="s">
        <v>1861</v>
      </c>
      <c r="M79" s="4295">
        <v>12</v>
      </c>
      <c r="N79" s="4266"/>
      <c r="O79" s="4266"/>
      <c r="P79" s="4263"/>
      <c r="Q79" s="4318">
        <f>SUM(V79+V80+V81+V82+V83)/R65</f>
        <v>0.25</v>
      </c>
      <c r="R79" s="4302"/>
      <c r="S79" s="4263"/>
      <c r="T79" s="4321" t="s">
        <v>1966</v>
      </c>
      <c r="U79" s="2222" t="s">
        <v>1967</v>
      </c>
      <c r="V79" s="2221">
        <v>5000000</v>
      </c>
      <c r="W79" s="2173">
        <v>61</v>
      </c>
      <c r="X79" s="2213" t="s">
        <v>1868</v>
      </c>
      <c r="Y79" s="4314"/>
      <c r="Z79" s="4314"/>
      <c r="AA79" s="4314"/>
      <c r="AB79" s="4314"/>
      <c r="AC79" s="4314"/>
      <c r="AD79" s="4314"/>
      <c r="AE79" s="4314"/>
      <c r="AF79" s="4314"/>
      <c r="AG79" s="4314"/>
      <c r="AH79" s="4314"/>
      <c r="AI79" s="4314"/>
      <c r="AJ79" s="4314"/>
      <c r="AK79" s="4314"/>
      <c r="AL79" s="4314"/>
      <c r="AM79" s="4314"/>
      <c r="AN79" s="4314"/>
      <c r="AO79" s="4286"/>
      <c r="AP79" s="4286"/>
      <c r="AQ79" s="4286"/>
    </row>
    <row r="80" spans="1:43" ht="30" x14ac:dyDescent="0.2">
      <c r="A80" s="1243"/>
      <c r="B80" s="2158"/>
      <c r="C80" s="1245"/>
      <c r="D80" s="2158"/>
      <c r="E80" s="1245"/>
      <c r="F80" s="2209"/>
      <c r="G80" s="2165"/>
      <c r="H80" s="2165"/>
      <c r="I80" s="2165"/>
      <c r="J80" s="4308"/>
      <c r="K80" s="4316"/>
      <c r="L80" s="4311"/>
      <c r="M80" s="4296"/>
      <c r="N80" s="4266"/>
      <c r="O80" s="4266"/>
      <c r="P80" s="4263"/>
      <c r="Q80" s="4319"/>
      <c r="R80" s="4302"/>
      <c r="S80" s="4263"/>
      <c r="T80" s="4316"/>
      <c r="U80" s="2222" t="s">
        <v>1968</v>
      </c>
      <c r="V80" s="2221">
        <v>5000000</v>
      </c>
      <c r="W80" s="2173">
        <v>61</v>
      </c>
      <c r="X80" s="2213" t="s">
        <v>1868</v>
      </c>
      <c r="Y80" s="4314"/>
      <c r="Z80" s="4314"/>
      <c r="AA80" s="4314"/>
      <c r="AB80" s="4314"/>
      <c r="AC80" s="4314"/>
      <c r="AD80" s="4314"/>
      <c r="AE80" s="4314"/>
      <c r="AF80" s="4314"/>
      <c r="AG80" s="4314"/>
      <c r="AH80" s="4314"/>
      <c r="AI80" s="4314"/>
      <c r="AJ80" s="4314"/>
      <c r="AK80" s="4314"/>
      <c r="AL80" s="4314"/>
      <c r="AM80" s="4314"/>
      <c r="AN80" s="4314"/>
      <c r="AO80" s="4286"/>
      <c r="AP80" s="4286"/>
      <c r="AQ80" s="4286"/>
    </row>
    <row r="81" spans="1:43" ht="50.25" customHeight="1" x14ac:dyDescent="0.2">
      <c r="A81" s="1243"/>
      <c r="B81" s="2158"/>
      <c r="C81" s="1245"/>
      <c r="D81" s="2158"/>
      <c r="E81" s="1245"/>
      <c r="F81" s="2209"/>
      <c r="G81" s="2165"/>
      <c r="H81" s="2165"/>
      <c r="I81" s="2165"/>
      <c r="J81" s="4308"/>
      <c r="K81" s="4316"/>
      <c r="L81" s="4311"/>
      <c r="M81" s="4296"/>
      <c r="N81" s="4266"/>
      <c r="O81" s="4266"/>
      <c r="P81" s="4263"/>
      <c r="Q81" s="4319"/>
      <c r="R81" s="4302"/>
      <c r="S81" s="4263"/>
      <c r="T81" s="4316"/>
      <c r="U81" s="2222" t="s">
        <v>1969</v>
      </c>
      <c r="V81" s="2221">
        <v>5000000</v>
      </c>
      <c r="W81" s="2173">
        <v>61</v>
      </c>
      <c r="X81" s="2213" t="s">
        <v>1868</v>
      </c>
      <c r="Y81" s="4314"/>
      <c r="Z81" s="4314"/>
      <c r="AA81" s="4314"/>
      <c r="AB81" s="4314"/>
      <c r="AC81" s="4314"/>
      <c r="AD81" s="4314"/>
      <c r="AE81" s="4314"/>
      <c r="AF81" s="4314"/>
      <c r="AG81" s="4314"/>
      <c r="AH81" s="4314"/>
      <c r="AI81" s="4314"/>
      <c r="AJ81" s="4314"/>
      <c r="AK81" s="4314"/>
      <c r="AL81" s="4314"/>
      <c r="AM81" s="4314"/>
      <c r="AN81" s="4314"/>
      <c r="AO81" s="4286"/>
      <c r="AP81" s="4286"/>
      <c r="AQ81" s="4286"/>
    </row>
    <row r="82" spans="1:43" ht="60" x14ac:dyDescent="0.2">
      <c r="A82" s="1243"/>
      <c r="B82" s="2158"/>
      <c r="C82" s="1245"/>
      <c r="D82" s="2158"/>
      <c r="E82" s="1245"/>
      <c r="F82" s="2209"/>
      <c r="G82" s="2165"/>
      <c r="H82" s="2165"/>
      <c r="I82" s="2165"/>
      <c r="J82" s="4308"/>
      <c r="K82" s="4316"/>
      <c r="L82" s="4311"/>
      <c r="M82" s="4296"/>
      <c r="N82" s="4266"/>
      <c r="O82" s="4266"/>
      <c r="P82" s="4263"/>
      <c r="Q82" s="4319"/>
      <c r="R82" s="4302"/>
      <c r="S82" s="4263"/>
      <c r="T82" s="4316"/>
      <c r="U82" s="2222" t="s">
        <v>1970</v>
      </c>
      <c r="V82" s="2221">
        <v>5000000</v>
      </c>
      <c r="W82" s="2173">
        <v>61</v>
      </c>
      <c r="X82" s="2213" t="s">
        <v>1868</v>
      </c>
      <c r="Y82" s="4314"/>
      <c r="Z82" s="4314"/>
      <c r="AA82" s="4314"/>
      <c r="AB82" s="4314"/>
      <c r="AC82" s="4314"/>
      <c r="AD82" s="4314"/>
      <c r="AE82" s="4314"/>
      <c r="AF82" s="4314"/>
      <c r="AG82" s="4314"/>
      <c r="AH82" s="4314"/>
      <c r="AI82" s="4314"/>
      <c r="AJ82" s="4314"/>
      <c r="AK82" s="4314"/>
      <c r="AL82" s="4314"/>
      <c r="AM82" s="4314"/>
      <c r="AN82" s="4314"/>
      <c r="AO82" s="4286"/>
      <c r="AP82" s="4286"/>
      <c r="AQ82" s="4286"/>
    </row>
    <row r="83" spans="1:43" ht="75" x14ac:dyDescent="0.2">
      <c r="A83" s="1243"/>
      <c r="B83" s="2158"/>
      <c r="C83" s="1245"/>
      <c r="D83" s="2158"/>
      <c r="E83" s="1245"/>
      <c r="F83" s="2209"/>
      <c r="G83" s="2175"/>
      <c r="H83" s="2175"/>
      <c r="I83" s="2175"/>
      <c r="J83" s="4309"/>
      <c r="K83" s="4317"/>
      <c r="L83" s="4312"/>
      <c r="M83" s="4297"/>
      <c r="N83" s="4266"/>
      <c r="O83" s="4267"/>
      <c r="P83" s="4264"/>
      <c r="Q83" s="4320"/>
      <c r="R83" s="4303"/>
      <c r="S83" s="4264"/>
      <c r="T83" s="4317"/>
      <c r="U83" s="2222" t="s">
        <v>1971</v>
      </c>
      <c r="V83" s="2221">
        <v>8000000</v>
      </c>
      <c r="W83" s="2173">
        <v>61</v>
      </c>
      <c r="X83" s="2213" t="s">
        <v>1868</v>
      </c>
      <c r="Y83" s="4315"/>
      <c r="Z83" s="4315"/>
      <c r="AA83" s="4315"/>
      <c r="AB83" s="4315"/>
      <c r="AC83" s="4315"/>
      <c r="AD83" s="4315"/>
      <c r="AE83" s="4315"/>
      <c r="AF83" s="4315"/>
      <c r="AG83" s="4315"/>
      <c r="AH83" s="4315"/>
      <c r="AI83" s="4315"/>
      <c r="AJ83" s="4315"/>
      <c r="AK83" s="4315"/>
      <c r="AL83" s="4315"/>
      <c r="AM83" s="4315"/>
      <c r="AN83" s="4315"/>
      <c r="AO83" s="4286"/>
      <c r="AP83" s="4286"/>
      <c r="AQ83" s="4286"/>
    </row>
    <row r="84" spans="1:43" ht="15.75" x14ac:dyDescent="0.2">
      <c r="A84" s="1243"/>
      <c r="B84" s="2158"/>
      <c r="C84" s="1245"/>
      <c r="D84" s="2158"/>
      <c r="E84" s="1245"/>
      <c r="F84" s="1232"/>
      <c r="G84" s="2223">
        <v>39</v>
      </c>
      <c r="H84" s="2224" t="s">
        <v>1972</v>
      </c>
      <c r="I84" s="2224"/>
      <c r="J84" s="2160"/>
      <c r="K84" s="2195"/>
      <c r="L84" s="2160"/>
      <c r="M84" s="2225"/>
      <c r="N84" s="2200"/>
      <c r="O84" s="2200"/>
      <c r="P84" s="2200"/>
      <c r="Q84" s="2200"/>
      <c r="R84" s="2200"/>
      <c r="S84" s="2200"/>
      <c r="T84" s="2195"/>
      <c r="U84" s="2200"/>
      <c r="V84" s="2200"/>
      <c r="W84" s="2200"/>
      <c r="X84" s="2200"/>
      <c r="Y84" s="2200"/>
      <c r="Z84" s="2200"/>
      <c r="AA84" s="2200"/>
      <c r="AB84" s="2200"/>
      <c r="AC84" s="2200"/>
      <c r="AD84" s="2200"/>
      <c r="AE84" s="2200"/>
      <c r="AF84" s="2200"/>
      <c r="AG84" s="2200"/>
      <c r="AH84" s="2200"/>
      <c r="AI84" s="2200"/>
      <c r="AJ84" s="2200"/>
      <c r="AK84" s="2200"/>
      <c r="AL84" s="2200"/>
      <c r="AM84" s="2200"/>
      <c r="AN84" s="2200"/>
      <c r="AO84" s="2200"/>
      <c r="AP84" s="2200"/>
      <c r="AQ84" s="2226"/>
    </row>
    <row r="85" spans="1:43" ht="75" x14ac:dyDescent="0.2">
      <c r="A85" s="1243"/>
      <c r="B85" s="2158"/>
      <c r="C85" s="1245"/>
      <c r="D85" s="2158"/>
      <c r="E85" s="1245"/>
      <c r="F85" s="2158"/>
      <c r="G85" s="2227"/>
      <c r="H85" s="2227"/>
      <c r="I85" s="2228"/>
      <c r="J85" s="4323">
        <v>139</v>
      </c>
      <c r="K85" s="4321" t="s">
        <v>1973</v>
      </c>
      <c r="L85" s="4310" t="s">
        <v>1861</v>
      </c>
      <c r="M85" s="4322">
        <v>1</v>
      </c>
      <c r="N85" s="4310" t="s">
        <v>1974</v>
      </c>
      <c r="O85" s="4310" t="s">
        <v>1975</v>
      </c>
      <c r="P85" s="4321" t="s">
        <v>1976</v>
      </c>
      <c r="Q85" s="4318">
        <f>+(V85+V86+V87+V88)/R85</f>
        <v>0.66666666666666663</v>
      </c>
      <c r="R85" s="3906">
        <f>SUM(V85:V95)</f>
        <v>168000000</v>
      </c>
      <c r="S85" s="4321" t="s">
        <v>1977</v>
      </c>
      <c r="T85" s="4321" t="s">
        <v>1978</v>
      </c>
      <c r="U85" s="2171" t="s">
        <v>1979</v>
      </c>
      <c r="V85" s="2212">
        <v>28000000</v>
      </c>
      <c r="W85" s="2229">
        <v>61</v>
      </c>
      <c r="X85" s="2230" t="s">
        <v>1868</v>
      </c>
      <c r="Y85" s="4331">
        <v>292684</v>
      </c>
      <c r="Z85" s="4331">
        <v>282326</v>
      </c>
      <c r="AA85" s="4331">
        <v>135912</v>
      </c>
      <c r="AB85" s="4331">
        <v>45122</v>
      </c>
      <c r="AC85" s="4331">
        <v>307101</v>
      </c>
      <c r="AD85" s="4331">
        <v>86875</v>
      </c>
      <c r="AE85" s="4331">
        <v>2145</v>
      </c>
      <c r="AF85" s="4331">
        <v>12718</v>
      </c>
      <c r="AG85" s="4331">
        <v>26</v>
      </c>
      <c r="AH85" s="4331">
        <v>37</v>
      </c>
      <c r="AI85" s="4331" t="s">
        <v>1869</v>
      </c>
      <c r="AJ85" s="4331" t="s">
        <v>1869</v>
      </c>
      <c r="AK85" s="4331">
        <v>53164</v>
      </c>
      <c r="AL85" s="4331">
        <v>16982</v>
      </c>
      <c r="AM85" s="4331">
        <v>60013</v>
      </c>
      <c r="AN85" s="4331">
        <v>575010</v>
      </c>
      <c r="AO85" s="4326">
        <v>43466</v>
      </c>
      <c r="AP85" s="4326">
        <v>43830</v>
      </c>
      <c r="AQ85" s="4328" t="s">
        <v>1870</v>
      </c>
    </row>
    <row r="86" spans="1:43" ht="60" x14ac:dyDescent="0.2">
      <c r="A86" s="1243"/>
      <c r="B86" s="2158"/>
      <c r="C86" s="1245"/>
      <c r="D86" s="2158"/>
      <c r="E86" s="1245"/>
      <c r="F86" s="2158"/>
      <c r="G86" s="2231"/>
      <c r="H86" s="2231"/>
      <c r="I86" s="2232"/>
      <c r="J86" s="4324"/>
      <c r="K86" s="4316"/>
      <c r="L86" s="4311"/>
      <c r="M86" s="4322"/>
      <c r="N86" s="4311"/>
      <c r="O86" s="4311"/>
      <c r="P86" s="4316"/>
      <c r="Q86" s="4319"/>
      <c r="R86" s="3788"/>
      <c r="S86" s="4316"/>
      <c r="T86" s="4316"/>
      <c r="U86" s="2171" t="s">
        <v>1980</v>
      </c>
      <c r="V86" s="2212">
        <v>28000000</v>
      </c>
      <c r="W86" s="2229">
        <v>61</v>
      </c>
      <c r="X86" s="2230" t="s">
        <v>1868</v>
      </c>
      <c r="Y86" s="4332"/>
      <c r="Z86" s="4332"/>
      <c r="AA86" s="4332"/>
      <c r="AB86" s="4332"/>
      <c r="AC86" s="4332"/>
      <c r="AD86" s="4332"/>
      <c r="AE86" s="4332"/>
      <c r="AF86" s="4332"/>
      <c r="AG86" s="4332"/>
      <c r="AH86" s="4332"/>
      <c r="AI86" s="4332"/>
      <c r="AJ86" s="4332"/>
      <c r="AK86" s="4332"/>
      <c r="AL86" s="4332"/>
      <c r="AM86" s="4332"/>
      <c r="AN86" s="4332"/>
      <c r="AO86" s="4327"/>
      <c r="AP86" s="4327"/>
      <c r="AQ86" s="4329"/>
    </row>
    <row r="87" spans="1:43" s="1205" customFormat="1" ht="60" x14ac:dyDescent="0.25">
      <c r="A87" s="2233"/>
      <c r="B87" s="2234"/>
      <c r="C87" s="2235"/>
      <c r="D87" s="2234"/>
      <c r="E87" s="2236"/>
      <c r="F87" s="2237"/>
      <c r="G87" s="2231"/>
      <c r="H87" s="2231"/>
      <c r="I87" s="2232"/>
      <c r="J87" s="4324"/>
      <c r="K87" s="4316"/>
      <c r="L87" s="4311"/>
      <c r="M87" s="4322"/>
      <c r="N87" s="4311"/>
      <c r="O87" s="4311"/>
      <c r="P87" s="4316"/>
      <c r="Q87" s="4319"/>
      <c r="R87" s="3788"/>
      <c r="S87" s="4316"/>
      <c r="T87" s="4316"/>
      <c r="U87" s="2171" t="s">
        <v>1981</v>
      </c>
      <c r="V87" s="2212">
        <v>28000000</v>
      </c>
      <c r="W87" s="2229">
        <v>61</v>
      </c>
      <c r="X87" s="2230" t="s">
        <v>1868</v>
      </c>
      <c r="Y87" s="4332"/>
      <c r="Z87" s="4332"/>
      <c r="AA87" s="4332"/>
      <c r="AB87" s="4332"/>
      <c r="AC87" s="4332"/>
      <c r="AD87" s="4332"/>
      <c r="AE87" s="4332"/>
      <c r="AF87" s="4332"/>
      <c r="AG87" s="4332"/>
      <c r="AH87" s="4332"/>
      <c r="AI87" s="4332"/>
      <c r="AJ87" s="4332"/>
      <c r="AK87" s="4332"/>
      <c r="AL87" s="4332"/>
      <c r="AM87" s="4332"/>
      <c r="AN87" s="4332"/>
      <c r="AO87" s="4327"/>
      <c r="AP87" s="4327"/>
      <c r="AQ87" s="4329"/>
    </row>
    <row r="88" spans="1:43" ht="60" x14ac:dyDescent="0.2">
      <c r="A88" s="2238"/>
      <c r="B88" s="1526"/>
      <c r="C88" s="2239"/>
      <c r="D88" s="1526"/>
      <c r="E88" s="2239"/>
      <c r="F88" s="1526"/>
      <c r="G88" s="2231"/>
      <c r="H88" s="2231"/>
      <c r="I88" s="2232"/>
      <c r="J88" s="4325"/>
      <c r="K88" s="4317"/>
      <c r="L88" s="4312"/>
      <c r="M88" s="4322"/>
      <c r="N88" s="4311"/>
      <c r="O88" s="4311"/>
      <c r="P88" s="4316"/>
      <c r="Q88" s="4320"/>
      <c r="R88" s="3788"/>
      <c r="S88" s="4316"/>
      <c r="T88" s="4317"/>
      <c r="U88" s="2171" t="s">
        <v>1982</v>
      </c>
      <c r="V88" s="2212">
        <v>28000000</v>
      </c>
      <c r="W88" s="2229">
        <v>61</v>
      </c>
      <c r="X88" s="2230" t="s">
        <v>1868</v>
      </c>
      <c r="Y88" s="4332"/>
      <c r="Z88" s="4332"/>
      <c r="AA88" s="4332"/>
      <c r="AB88" s="4332"/>
      <c r="AC88" s="4332"/>
      <c r="AD88" s="4332"/>
      <c r="AE88" s="4332"/>
      <c r="AF88" s="4332"/>
      <c r="AG88" s="4332"/>
      <c r="AH88" s="4332"/>
      <c r="AI88" s="4332"/>
      <c r="AJ88" s="4332"/>
      <c r="AK88" s="4332"/>
      <c r="AL88" s="4332"/>
      <c r="AM88" s="4332"/>
      <c r="AN88" s="4332"/>
      <c r="AO88" s="4327"/>
      <c r="AP88" s="4327"/>
      <c r="AQ88" s="4329"/>
    </row>
    <row r="89" spans="1:43" ht="45" x14ac:dyDescent="0.2">
      <c r="A89" s="2238"/>
      <c r="B89" s="1526"/>
      <c r="C89" s="2239"/>
      <c r="D89" s="1526"/>
      <c r="E89" s="2239"/>
      <c r="F89" s="1526"/>
      <c r="G89" s="2231"/>
      <c r="H89" s="2231"/>
      <c r="I89" s="2232"/>
      <c r="J89" s="4323">
        <v>140</v>
      </c>
      <c r="K89" s="4321" t="s">
        <v>1983</v>
      </c>
      <c r="L89" s="4310" t="s">
        <v>1861</v>
      </c>
      <c r="M89" s="4322">
        <v>1</v>
      </c>
      <c r="N89" s="4311"/>
      <c r="O89" s="4311"/>
      <c r="P89" s="4316"/>
      <c r="Q89" s="4318">
        <f>+(V89+V90+V91+V92)/R85</f>
        <v>0.16666666666666666</v>
      </c>
      <c r="R89" s="3788"/>
      <c r="S89" s="4316"/>
      <c r="T89" s="4321" t="s">
        <v>1984</v>
      </c>
      <c r="U89" s="2171" t="s">
        <v>1985</v>
      </c>
      <c r="V89" s="2212">
        <v>7000000</v>
      </c>
      <c r="W89" s="2229">
        <v>61</v>
      </c>
      <c r="X89" s="2230" t="s">
        <v>1868</v>
      </c>
      <c r="Y89" s="4332"/>
      <c r="Z89" s="4332"/>
      <c r="AA89" s="4332"/>
      <c r="AB89" s="4332"/>
      <c r="AC89" s="4332"/>
      <c r="AD89" s="4332"/>
      <c r="AE89" s="4332"/>
      <c r="AF89" s="4332"/>
      <c r="AG89" s="4332"/>
      <c r="AH89" s="4332"/>
      <c r="AI89" s="4332"/>
      <c r="AJ89" s="4332"/>
      <c r="AK89" s="4332"/>
      <c r="AL89" s="4332"/>
      <c r="AM89" s="4332"/>
      <c r="AN89" s="4332"/>
      <c r="AO89" s="4327"/>
      <c r="AP89" s="4327"/>
      <c r="AQ89" s="4329"/>
    </row>
    <row r="90" spans="1:43" ht="60" x14ac:dyDescent="0.2">
      <c r="A90" s="2238"/>
      <c r="B90" s="1526"/>
      <c r="C90" s="2239"/>
      <c r="D90" s="1526"/>
      <c r="E90" s="2239"/>
      <c r="F90" s="1526"/>
      <c r="G90" s="2231"/>
      <c r="H90" s="2231"/>
      <c r="I90" s="2232"/>
      <c r="J90" s="4324"/>
      <c r="K90" s="4316"/>
      <c r="L90" s="4311"/>
      <c r="M90" s="4322"/>
      <c r="N90" s="4311"/>
      <c r="O90" s="4311"/>
      <c r="P90" s="4316"/>
      <c r="Q90" s="4319"/>
      <c r="R90" s="3788"/>
      <c r="S90" s="4316"/>
      <c r="T90" s="4316"/>
      <c r="U90" s="2171" t="s">
        <v>1986</v>
      </c>
      <c r="V90" s="2212">
        <v>7000000</v>
      </c>
      <c r="W90" s="2229">
        <v>61</v>
      </c>
      <c r="X90" s="2230" t="s">
        <v>1868</v>
      </c>
      <c r="Y90" s="4332"/>
      <c r="Z90" s="4332"/>
      <c r="AA90" s="4332"/>
      <c r="AB90" s="4332"/>
      <c r="AC90" s="4332"/>
      <c r="AD90" s="4332"/>
      <c r="AE90" s="4332"/>
      <c r="AF90" s="4332"/>
      <c r="AG90" s="4332"/>
      <c r="AH90" s="4332"/>
      <c r="AI90" s="4332"/>
      <c r="AJ90" s="4332"/>
      <c r="AK90" s="4332"/>
      <c r="AL90" s="4332"/>
      <c r="AM90" s="4332"/>
      <c r="AN90" s="4332"/>
      <c r="AO90" s="4327"/>
      <c r="AP90" s="4327"/>
      <c r="AQ90" s="4329"/>
    </row>
    <row r="91" spans="1:43" ht="30" x14ac:dyDescent="0.2">
      <c r="A91" s="2238"/>
      <c r="B91" s="1526"/>
      <c r="C91" s="2239"/>
      <c r="D91" s="1526"/>
      <c r="E91" s="2239"/>
      <c r="F91" s="1526"/>
      <c r="G91" s="2231"/>
      <c r="H91" s="2231"/>
      <c r="I91" s="2232"/>
      <c r="J91" s="4324"/>
      <c r="K91" s="4316"/>
      <c r="L91" s="4311"/>
      <c r="M91" s="4322"/>
      <c r="N91" s="4311"/>
      <c r="O91" s="4311"/>
      <c r="P91" s="4316"/>
      <c r="Q91" s="4319"/>
      <c r="R91" s="3788"/>
      <c r="S91" s="4316"/>
      <c r="T91" s="4316"/>
      <c r="U91" s="2171" t="s">
        <v>1987</v>
      </c>
      <c r="V91" s="2212">
        <v>7000000</v>
      </c>
      <c r="W91" s="2229">
        <v>61</v>
      </c>
      <c r="X91" s="2230" t="s">
        <v>1868</v>
      </c>
      <c r="Y91" s="4332"/>
      <c r="Z91" s="4332"/>
      <c r="AA91" s="4332"/>
      <c r="AB91" s="4332"/>
      <c r="AC91" s="4332"/>
      <c r="AD91" s="4332"/>
      <c r="AE91" s="4332"/>
      <c r="AF91" s="4332"/>
      <c r="AG91" s="4332"/>
      <c r="AH91" s="4332"/>
      <c r="AI91" s="4332"/>
      <c r="AJ91" s="4332"/>
      <c r="AK91" s="4332"/>
      <c r="AL91" s="4332"/>
      <c r="AM91" s="4332"/>
      <c r="AN91" s="4332"/>
      <c r="AO91" s="4327"/>
      <c r="AP91" s="4327"/>
      <c r="AQ91" s="4329"/>
    </row>
    <row r="92" spans="1:43" ht="60" x14ac:dyDescent="0.2">
      <c r="A92" s="2238"/>
      <c r="B92" s="1526"/>
      <c r="C92" s="2239"/>
      <c r="D92" s="1526"/>
      <c r="E92" s="2239"/>
      <c r="F92" s="1526"/>
      <c r="G92" s="2231"/>
      <c r="H92" s="2231"/>
      <c r="I92" s="2232"/>
      <c r="J92" s="4325"/>
      <c r="K92" s="4317"/>
      <c r="L92" s="4312"/>
      <c r="M92" s="4322"/>
      <c r="N92" s="4311"/>
      <c r="O92" s="4311"/>
      <c r="P92" s="4316"/>
      <c r="Q92" s="4320"/>
      <c r="R92" s="3788"/>
      <c r="S92" s="4316"/>
      <c r="T92" s="4317"/>
      <c r="U92" s="2171" t="s">
        <v>1988</v>
      </c>
      <c r="V92" s="2212">
        <v>7000000</v>
      </c>
      <c r="W92" s="2229">
        <v>61</v>
      </c>
      <c r="X92" s="2230" t="s">
        <v>1868</v>
      </c>
      <c r="Y92" s="4332"/>
      <c r="Z92" s="4332"/>
      <c r="AA92" s="4332"/>
      <c r="AB92" s="4332"/>
      <c r="AC92" s="4332"/>
      <c r="AD92" s="4332"/>
      <c r="AE92" s="4332"/>
      <c r="AF92" s="4332"/>
      <c r="AG92" s="4332"/>
      <c r="AH92" s="4332"/>
      <c r="AI92" s="4332"/>
      <c r="AJ92" s="4332"/>
      <c r="AK92" s="4332"/>
      <c r="AL92" s="4332"/>
      <c r="AM92" s="4332"/>
      <c r="AN92" s="4332"/>
      <c r="AO92" s="4327"/>
      <c r="AP92" s="4327"/>
      <c r="AQ92" s="4329"/>
    </row>
    <row r="93" spans="1:43" ht="45" x14ac:dyDescent="0.2">
      <c r="A93" s="2238"/>
      <c r="B93" s="1526"/>
      <c r="C93" s="2239"/>
      <c r="D93" s="1526"/>
      <c r="E93" s="2239"/>
      <c r="F93" s="1526"/>
      <c r="G93" s="2231"/>
      <c r="H93" s="2231"/>
      <c r="I93" s="2232"/>
      <c r="J93" s="4323">
        <v>141</v>
      </c>
      <c r="K93" s="4321" t="s">
        <v>1989</v>
      </c>
      <c r="L93" s="4310" t="s">
        <v>1861</v>
      </c>
      <c r="M93" s="4322">
        <v>1</v>
      </c>
      <c r="N93" s="4311"/>
      <c r="O93" s="4311"/>
      <c r="P93" s="4316"/>
      <c r="Q93" s="4318">
        <f>+(V93+V94+V95)/R85</f>
        <v>0.16666666666666666</v>
      </c>
      <c r="R93" s="3788"/>
      <c r="S93" s="4316"/>
      <c r="T93" s="4321" t="s">
        <v>1990</v>
      </c>
      <c r="U93" s="2171" t="s">
        <v>1991</v>
      </c>
      <c r="V93" s="2212">
        <v>10000000</v>
      </c>
      <c r="W93" s="2229">
        <v>61</v>
      </c>
      <c r="X93" s="2230" t="s">
        <v>1868</v>
      </c>
      <c r="Y93" s="4332"/>
      <c r="Z93" s="4332"/>
      <c r="AA93" s="4332"/>
      <c r="AB93" s="4332"/>
      <c r="AC93" s="4332"/>
      <c r="AD93" s="4332"/>
      <c r="AE93" s="4332"/>
      <c r="AF93" s="4332"/>
      <c r="AG93" s="4332"/>
      <c r="AH93" s="4332"/>
      <c r="AI93" s="4332"/>
      <c r="AJ93" s="4332"/>
      <c r="AK93" s="4332"/>
      <c r="AL93" s="4332"/>
      <c r="AM93" s="4332"/>
      <c r="AN93" s="4332"/>
      <c r="AO93" s="4327"/>
      <c r="AP93" s="4327"/>
      <c r="AQ93" s="4329"/>
    </row>
    <row r="94" spans="1:43" ht="90" x14ac:dyDescent="0.2">
      <c r="A94" s="2238"/>
      <c r="B94" s="1526"/>
      <c r="C94" s="2239"/>
      <c r="D94" s="1526"/>
      <c r="E94" s="2239"/>
      <c r="F94" s="1526"/>
      <c r="G94" s="2231"/>
      <c r="H94" s="2231"/>
      <c r="I94" s="2232"/>
      <c r="J94" s="4324"/>
      <c r="K94" s="4316"/>
      <c r="L94" s="4311"/>
      <c r="M94" s="4322"/>
      <c r="N94" s="4311"/>
      <c r="O94" s="4311"/>
      <c r="P94" s="4316"/>
      <c r="Q94" s="4319"/>
      <c r="R94" s="3788"/>
      <c r="S94" s="4316"/>
      <c r="T94" s="4316"/>
      <c r="U94" s="2171" t="s">
        <v>1992</v>
      </c>
      <c r="V94" s="2212">
        <v>10000000</v>
      </c>
      <c r="W94" s="2229">
        <v>61</v>
      </c>
      <c r="X94" s="2230" t="s">
        <v>1868</v>
      </c>
      <c r="Y94" s="4332"/>
      <c r="Z94" s="4332"/>
      <c r="AA94" s="4332"/>
      <c r="AB94" s="4332"/>
      <c r="AC94" s="4332"/>
      <c r="AD94" s="4332"/>
      <c r="AE94" s="4332"/>
      <c r="AF94" s="4332"/>
      <c r="AG94" s="4332"/>
      <c r="AH94" s="4332"/>
      <c r="AI94" s="4332"/>
      <c r="AJ94" s="4332"/>
      <c r="AK94" s="4332"/>
      <c r="AL94" s="4332"/>
      <c r="AM94" s="4332"/>
      <c r="AN94" s="4332"/>
      <c r="AO94" s="4327"/>
      <c r="AP94" s="4327"/>
      <c r="AQ94" s="4329"/>
    </row>
    <row r="95" spans="1:43" ht="60" x14ac:dyDescent="0.2">
      <c r="A95" s="2238"/>
      <c r="B95" s="1526"/>
      <c r="C95" s="2239"/>
      <c r="D95" s="1526"/>
      <c r="E95" s="2239"/>
      <c r="F95" s="1526"/>
      <c r="G95" s="2231"/>
      <c r="H95" s="2231"/>
      <c r="I95" s="2232"/>
      <c r="J95" s="4325"/>
      <c r="K95" s="4317"/>
      <c r="L95" s="4312"/>
      <c r="M95" s="4322"/>
      <c r="N95" s="4312"/>
      <c r="O95" s="4312"/>
      <c r="P95" s="4317"/>
      <c r="Q95" s="4320"/>
      <c r="R95" s="3907"/>
      <c r="S95" s="4317"/>
      <c r="T95" s="4317"/>
      <c r="U95" s="2171" t="s">
        <v>1993</v>
      </c>
      <c r="V95" s="2212">
        <v>8000000</v>
      </c>
      <c r="W95" s="2229">
        <v>61</v>
      </c>
      <c r="X95" s="2230" t="s">
        <v>1868</v>
      </c>
      <c r="Y95" s="4333"/>
      <c r="Z95" s="4333"/>
      <c r="AA95" s="4333"/>
      <c r="AB95" s="4333"/>
      <c r="AC95" s="4333"/>
      <c r="AD95" s="4333"/>
      <c r="AE95" s="4333"/>
      <c r="AF95" s="4333"/>
      <c r="AG95" s="4333"/>
      <c r="AH95" s="4333"/>
      <c r="AI95" s="4333"/>
      <c r="AJ95" s="4333"/>
      <c r="AK95" s="4333"/>
      <c r="AL95" s="4333"/>
      <c r="AM95" s="4333"/>
      <c r="AN95" s="4333"/>
      <c r="AO95" s="4327"/>
      <c r="AP95" s="4327"/>
      <c r="AQ95" s="4330"/>
    </row>
    <row r="96" spans="1:43" ht="15" customHeight="1" x14ac:dyDescent="0.2">
      <c r="A96" s="2238"/>
      <c r="B96" s="1526"/>
      <c r="C96" s="2239"/>
      <c r="D96" s="1526"/>
      <c r="E96" s="2239"/>
      <c r="G96" s="2194">
        <v>40</v>
      </c>
      <c r="H96" s="2160" t="s">
        <v>1994</v>
      </c>
      <c r="I96" s="2219"/>
      <c r="J96" s="2160"/>
      <c r="K96" s="2195"/>
      <c r="L96" s="2160"/>
      <c r="M96" s="2225"/>
      <c r="N96" s="2200"/>
      <c r="O96" s="2200"/>
      <c r="P96" s="2200"/>
      <c r="Q96" s="2200"/>
      <c r="R96" s="2200"/>
      <c r="S96" s="2200"/>
      <c r="T96" s="2195"/>
      <c r="U96" s="2200"/>
      <c r="V96" s="2200"/>
      <c r="W96" s="2200"/>
      <c r="X96" s="2200"/>
      <c r="Y96" s="2200"/>
      <c r="Z96" s="2200"/>
      <c r="AA96" s="2200"/>
      <c r="AB96" s="2200"/>
      <c r="AC96" s="2200"/>
      <c r="AD96" s="2200"/>
      <c r="AE96" s="2200"/>
      <c r="AF96" s="2200"/>
      <c r="AG96" s="2200"/>
      <c r="AH96" s="2200"/>
      <c r="AI96" s="2200"/>
      <c r="AJ96" s="2200"/>
      <c r="AK96" s="2200"/>
      <c r="AL96" s="2200"/>
      <c r="AM96" s="2200"/>
      <c r="AN96" s="2200"/>
      <c r="AO96" s="2200"/>
      <c r="AP96" s="2200"/>
      <c r="AQ96" s="2226"/>
    </row>
    <row r="97" spans="1:43" ht="45" x14ac:dyDescent="0.2">
      <c r="A97" s="2238"/>
      <c r="B97" s="1526"/>
      <c r="C97" s="2239"/>
      <c r="D97" s="1526"/>
      <c r="E97" s="2239"/>
      <c r="G97" s="2210"/>
      <c r="H97" s="2210"/>
      <c r="I97" s="2211"/>
      <c r="J97" s="4259">
        <v>142</v>
      </c>
      <c r="K97" s="4262" t="s">
        <v>1995</v>
      </c>
      <c r="L97" s="4265" t="s">
        <v>1861</v>
      </c>
      <c r="M97" s="4322">
        <v>12</v>
      </c>
      <c r="N97" s="4265" t="s">
        <v>1996</v>
      </c>
      <c r="O97" s="4265" t="s">
        <v>1997</v>
      </c>
      <c r="P97" s="4262" t="s">
        <v>1998</v>
      </c>
      <c r="Q97" s="4338">
        <f>+(V97+V98+V99+V100)/R97</f>
        <v>0.91205079945823297</v>
      </c>
      <c r="R97" s="4301">
        <f>SUM(V97:V104)</f>
        <v>113702000</v>
      </c>
      <c r="S97" s="4262" t="s">
        <v>1999</v>
      </c>
      <c r="T97" s="4262" t="s">
        <v>2000</v>
      </c>
      <c r="U97" s="2240" t="s">
        <v>2001</v>
      </c>
      <c r="V97" s="2172">
        <v>25000000</v>
      </c>
      <c r="W97" s="2173">
        <v>61</v>
      </c>
      <c r="X97" s="2213" t="s">
        <v>1868</v>
      </c>
      <c r="Y97" s="4335" t="s">
        <v>1869</v>
      </c>
      <c r="Z97" s="4335" t="s">
        <v>1869</v>
      </c>
      <c r="AA97" s="4335">
        <v>64149</v>
      </c>
      <c r="AB97" s="4335" t="s">
        <v>1869</v>
      </c>
      <c r="AC97" s="4335" t="s">
        <v>1869</v>
      </c>
      <c r="AD97" s="4335" t="s">
        <v>1869</v>
      </c>
      <c r="AE97" s="4335" t="s">
        <v>1869</v>
      </c>
      <c r="AF97" s="4335" t="s">
        <v>1869</v>
      </c>
      <c r="AG97" s="4335" t="s">
        <v>1869</v>
      </c>
      <c r="AH97" s="4335" t="s">
        <v>1869</v>
      </c>
      <c r="AI97" s="4335" t="s">
        <v>1869</v>
      </c>
      <c r="AJ97" s="4335" t="s">
        <v>1869</v>
      </c>
      <c r="AK97" s="4335" t="s">
        <v>1869</v>
      </c>
      <c r="AL97" s="4335" t="s">
        <v>1869</v>
      </c>
      <c r="AM97" s="4335" t="s">
        <v>1869</v>
      </c>
      <c r="AN97" s="4335" t="s">
        <v>1869</v>
      </c>
      <c r="AO97" s="4326">
        <v>43466</v>
      </c>
      <c r="AP97" s="4326">
        <v>43830</v>
      </c>
      <c r="AQ97" s="3610" t="s">
        <v>1870</v>
      </c>
    </row>
    <row r="98" spans="1:43" ht="45" x14ac:dyDescent="0.2">
      <c r="A98" s="2238"/>
      <c r="B98" s="1526"/>
      <c r="C98" s="2239"/>
      <c r="D98" s="1526"/>
      <c r="E98" s="2239"/>
      <c r="G98" s="2214"/>
      <c r="H98" s="2214"/>
      <c r="I98" s="2215"/>
      <c r="J98" s="4260"/>
      <c r="K98" s="4263"/>
      <c r="L98" s="4266"/>
      <c r="M98" s="4322"/>
      <c r="N98" s="4266"/>
      <c r="O98" s="4266"/>
      <c r="P98" s="4263"/>
      <c r="Q98" s="4338"/>
      <c r="R98" s="4302"/>
      <c r="S98" s="4263"/>
      <c r="T98" s="4263"/>
      <c r="U98" s="2240" t="s">
        <v>2002</v>
      </c>
      <c r="V98" s="2241">
        <v>25000000</v>
      </c>
      <c r="W98" s="2173">
        <v>61</v>
      </c>
      <c r="X98" s="2213" t="s">
        <v>1868</v>
      </c>
      <c r="Y98" s="4336"/>
      <c r="Z98" s="4336"/>
      <c r="AA98" s="4336"/>
      <c r="AB98" s="4336"/>
      <c r="AC98" s="4336"/>
      <c r="AD98" s="4336"/>
      <c r="AE98" s="4336"/>
      <c r="AF98" s="4336"/>
      <c r="AG98" s="4336"/>
      <c r="AH98" s="4336"/>
      <c r="AI98" s="4336"/>
      <c r="AJ98" s="4336"/>
      <c r="AK98" s="4336"/>
      <c r="AL98" s="4336"/>
      <c r="AM98" s="4336"/>
      <c r="AN98" s="4336"/>
      <c r="AO98" s="4327"/>
      <c r="AP98" s="4327"/>
      <c r="AQ98" s="3276"/>
    </row>
    <row r="99" spans="1:43" ht="45" x14ac:dyDescent="0.2">
      <c r="A99" s="2238"/>
      <c r="B99" s="1526"/>
      <c r="C99" s="2239"/>
      <c r="D99" s="1526"/>
      <c r="E99" s="2239"/>
      <c r="G99" s="2214"/>
      <c r="H99" s="2214"/>
      <c r="I99" s="2215"/>
      <c r="J99" s="4260"/>
      <c r="K99" s="4263"/>
      <c r="L99" s="4266"/>
      <c r="M99" s="4322"/>
      <c r="N99" s="4266"/>
      <c r="O99" s="4266"/>
      <c r="P99" s="4263"/>
      <c r="Q99" s="4338"/>
      <c r="R99" s="4302"/>
      <c r="S99" s="4263"/>
      <c r="T99" s="4263"/>
      <c r="U99" s="2240" t="s">
        <v>2003</v>
      </c>
      <c r="V99" s="2241">
        <v>25000000</v>
      </c>
      <c r="W99" s="2173">
        <v>61</v>
      </c>
      <c r="X99" s="2213" t="s">
        <v>1868</v>
      </c>
      <c r="Y99" s="4336"/>
      <c r="Z99" s="4336"/>
      <c r="AA99" s="4336"/>
      <c r="AB99" s="4336"/>
      <c r="AC99" s="4336"/>
      <c r="AD99" s="4336"/>
      <c r="AE99" s="4336"/>
      <c r="AF99" s="4336"/>
      <c r="AG99" s="4336"/>
      <c r="AH99" s="4336"/>
      <c r="AI99" s="4336"/>
      <c r="AJ99" s="4336"/>
      <c r="AK99" s="4336"/>
      <c r="AL99" s="4336"/>
      <c r="AM99" s="4336"/>
      <c r="AN99" s="4336"/>
      <c r="AO99" s="4327"/>
      <c r="AP99" s="4327"/>
      <c r="AQ99" s="3276"/>
    </row>
    <row r="100" spans="1:43" ht="45" x14ac:dyDescent="0.2">
      <c r="A100" s="2238"/>
      <c r="B100" s="1526"/>
      <c r="C100" s="2239"/>
      <c r="D100" s="1526"/>
      <c r="E100" s="2239"/>
      <c r="G100" s="2214"/>
      <c r="H100" s="2214"/>
      <c r="I100" s="2215"/>
      <c r="J100" s="4261"/>
      <c r="K100" s="4264"/>
      <c r="L100" s="4267"/>
      <c r="M100" s="4322"/>
      <c r="N100" s="4266"/>
      <c r="O100" s="4266"/>
      <c r="P100" s="4263"/>
      <c r="Q100" s="4338"/>
      <c r="R100" s="4302"/>
      <c r="S100" s="4263"/>
      <c r="T100" s="4264"/>
      <c r="U100" s="2240" t="s">
        <v>2004</v>
      </c>
      <c r="V100" s="2241">
        <v>28702000</v>
      </c>
      <c r="W100" s="2173">
        <v>61</v>
      </c>
      <c r="X100" s="2213" t="s">
        <v>1868</v>
      </c>
      <c r="Y100" s="4336"/>
      <c r="Z100" s="4336"/>
      <c r="AA100" s="4336"/>
      <c r="AB100" s="4336"/>
      <c r="AC100" s="4336"/>
      <c r="AD100" s="4336"/>
      <c r="AE100" s="4336"/>
      <c r="AF100" s="4336"/>
      <c r="AG100" s="4336"/>
      <c r="AH100" s="4336"/>
      <c r="AI100" s="4336"/>
      <c r="AJ100" s="4336"/>
      <c r="AK100" s="4336"/>
      <c r="AL100" s="4336"/>
      <c r="AM100" s="4336"/>
      <c r="AN100" s="4336"/>
      <c r="AO100" s="4327"/>
      <c r="AP100" s="4327"/>
      <c r="AQ100" s="3276"/>
    </row>
    <row r="101" spans="1:43" ht="30" x14ac:dyDescent="0.2">
      <c r="A101" s="2238"/>
      <c r="B101" s="1526"/>
      <c r="C101" s="2239"/>
      <c r="D101" s="1526"/>
      <c r="E101" s="2239"/>
      <c r="G101" s="2214"/>
      <c r="H101" s="2214"/>
      <c r="I101" s="2215"/>
      <c r="J101" s="4259">
        <v>143</v>
      </c>
      <c r="K101" s="4334" t="s">
        <v>2005</v>
      </c>
      <c r="L101" s="4265" t="s">
        <v>1861</v>
      </c>
      <c r="M101" s="4322">
        <v>1</v>
      </c>
      <c r="N101" s="4266"/>
      <c r="O101" s="4266"/>
      <c r="P101" s="4263"/>
      <c r="Q101" s="4318">
        <f>+(V101+V102+V103+V104)/R97</f>
        <v>8.7949200541767081E-2</v>
      </c>
      <c r="R101" s="4302"/>
      <c r="S101" s="4263"/>
      <c r="T101" s="4334" t="s">
        <v>2006</v>
      </c>
      <c r="U101" s="2242" t="s">
        <v>2007</v>
      </c>
      <c r="V101" s="2241">
        <v>2500000</v>
      </c>
      <c r="W101" s="2173">
        <v>20</v>
      </c>
      <c r="X101" s="2203" t="s">
        <v>62</v>
      </c>
      <c r="Y101" s="4336"/>
      <c r="Z101" s="4336"/>
      <c r="AA101" s="4336"/>
      <c r="AB101" s="4336"/>
      <c r="AC101" s="4336"/>
      <c r="AD101" s="4336"/>
      <c r="AE101" s="4336"/>
      <c r="AF101" s="4336"/>
      <c r="AG101" s="4336"/>
      <c r="AH101" s="4336"/>
      <c r="AI101" s="4336"/>
      <c r="AJ101" s="4336"/>
      <c r="AK101" s="4336"/>
      <c r="AL101" s="4336"/>
      <c r="AM101" s="4336"/>
      <c r="AN101" s="4336"/>
      <c r="AO101" s="4327"/>
      <c r="AP101" s="4327"/>
      <c r="AQ101" s="3276"/>
    </row>
    <row r="102" spans="1:43" ht="45" x14ac:dyDescent="0.2">
      <c r="A102" s="2238"/>
      <c r="B102" s="1526"/>
      <c r="C102" s="2239"/>
      <c r="D102" s="1526"/>
      <c r="E102" s="2239"/>
      <c r="G102" s="2214"/>
      <c r="H102" s="2214"/>
      <c r="I102" s="2215"/>
      <c r="J102" s="4260"/>
      <c r="K102" s="4334"/>
      <c r="L102" s="4266"/>
      <c r="M102" s="4322"/>
      <c r="N102" s="4266"/>
      <c r="O102" s="4266"/>
      <c r="P102" s="4263"/>
      <c r="Q102" s="4319"/>
      <c r="R102" s="4302"/>
      <c r="S102" s="4263"/>
      <c r="T102" s="4334"/>
      <c r="U102" s="2242" t="s">
        <v>2008</v>
      </c>
      <c r="V102" s="2241">
        <v>2500000</v>
      </c>
      <c r="W102" s="2173">
        <v>20</v>
      </c>
      <c r="X102" s="2203" t="s">
        <v>62</v>
      </c>
      <c r="Y102" s="4336"/>
      <c r="Z102" s="4336"/>
      <c r="AA102" s="4336"/>
      <c r="AB102" s="4336"/>
      <c r="AC102" s="4336"/>
      <c r="AD102" s="4336"/>
      <c r="AE102" s="4336"/>
      <c r="AF102" s="4336"/>
      <c r="AG102" s="4336"/>
      <c r="AH102" s="4336"/>
      <c r="AI102" s="4336"/>
      <c r="AJ102" s="4336"/>
      <c r="AK102" s="4336"/>
      <c r="AL102" s="4336"/>
      <c r="AM102" s="4336"/>
      <c r="AN102" s="4336"/>
      <c r="AO102" s="4327"/>
      <c r="AP102" s="4327"/>
      <c r="AQ102" s="3276"/>
    </row>
    <row r="103" spans="1:43" ht="45" x14ac:dyDescent="0.2">
      <c r="A103" s="2238"/>
      <c r="B103" s="1526"/>
      <c r="C103" s="2239"/>
      <c r="D103" s="1526"/>
      <c r="E103" s="2239"/>
      <c r="G103" s="2214"/>
      <c r="H103" s="2214"/>
      <c r="I103" s="2215"/>
      <c r="J103" s="4260"/>
      <c r="K103" s="4334"/>
      <c r="L103" s="4266"/>
      <c r="M103" s="4322"/>
      <c r="N103" s="4266"/>
      <c r="O103" s="4266"/>
      <c r="P103" s="4263"/>
      <c r="Q103" s="4319"/>
      <c r="R103" s="4302"/>
      <c r="S103" s="4263"/>
      <c r="T103" s="4334"/>
      <c r="U103" s="2242" t="s">
        <v>2009</v>
      </c>
      <c r="V103" s="2241">
        <v>2500000</v>
      </c>
      <c r="W103" s="2173">
        <v>20</v>
      </c>
      <c r="X103" s="2203" t="s">
        <v>62</v>
      </c>
      <c r="Y103" s="4336"/>
      <c r="Z103" s="4336"/>
      <c r="AA103" s="4336"/>
      <c r="AB103" s="4336"/>
      <c r="AC103" s="4336"/>
      <c r="AD103" s="4336"/>
      <c r="AE103" s="4336"/>
      <c r="AF103" s="4336"/>
      <c r="AG103" s="4336"/>
      <c r="AH103" s="4336"/>
      <c r="AI103" s="4336"/>
      <c r="AJ103" s="4336"/>
      <c r="AK103" s="4336"/>
      <c r="AL103" s="4336"/>
      <c r="AM103" s="4336"/>
      <c r="AN103" s="4336"/>
      <c r="AO103" s="4327"/>
      <c r="AP103" s="4327"/>
      <c r="AQ103" s="3276"/>
    </row>
    <row r="104" spans="1:43" ht="45" x14ac:dyDescent="0.2">
      <c r="A104" s="2238"/>
      <c r="B104" s="1526"/>
      <c r="C104" s="2239"/>
      <c r="D104" s="1526"/>
      <c r="E104" s="2239"/>
      <c r="G104" s="2214"/>
      <c r="H104" s="2214"/>
      <c r="I104" s="2215"/>
      <c r="J104" s="4261"/>
      <c r="K104" s="4334"/>
      <c r="L104" s="4267"/>
      <c r="M104" s="4322"/>
      <c r="N104" s="4267"/>
      <c r="O104" s="4267"/>
      <c r="P104" s="4264"/>
      <c r="Q104" s="4320"/>
      <c r="R104" s="4303"/>
      <c r="S104" s="4264"/>
      <c r="T104" s="4334"/>
      <c r="U104" s="2242" t="s">
        <v>2010</v>
      </c>
      <c r="V104" s="2172">
        <v>2500000</v>
      </c>
      <c r="W104" s="2173">
        <v>20</v>
      </c>
      <c r="X104" s="2203" t="s">
        <v>62</v>
      </c>
      <c r="Y104" s="4337"/>
      <c r="Z104" s="4337"/>
      <c r="AA104" s="4337"/>
      <c r="AB104" s="4337"/>
      <c r="AC104" s="4337"/>
      <c r="AD104" s="4337"/>
      <c r="AE104" s="4337"/>
      <c r="AF104" s="4337"/>
      <c r="AG104" s="4337"/>
      <c r="AH104" s="4337"/>
      <c r="AI104" s="4337"/>
      <c r="AJ104" s="4337"/>
      <c r="AK104" s="4337"/>
      <c r="AL104" s="4337"/>
      <c r="AM104" s="4337"/>
      <c r="AN104" s="4337"/>
      <c r="AO104" s="4327"/>
      <c r="AP104" s="4327"/>
      <c r="AQ104" s="3277"/>
    </row>
    <row r="105" spans="1:43" ht="60" customHeight="1" x14ac:dyDescent="0.2">
      <c r="A105" s="2238"/>
      <c r="B105" s="1526"/>
      <c r="C105" s="2239"/>
      <c r="D105" s="1526"/>
      <c r="E105" s="2239"/>
      <c r="G105" s="2243"/>
      <c r="H105" s="2243"/>
      <c r="I105" s="2244"/>
      <c r="J105" s="4307">
        <v>144</v>
      </c>
      <c r="K105" s="4339" t="s">
        <v>2011</v>
      </c>
      <c r="L105" s="4307" t="s">
        <v>1861</v>
      </c>
      <c r="M105" s="4295">
        <v>5</v>
      </c>
      <c r="N105" s="4342" t="s">
        <v>2012</v>
      </c>
      <c r="O105" s="4342" t="s">
        <v>2013</v>
      </c>
      <c r="P105" s="4262" t="s">
        <v>2014</v>
      </c>
      <c r="Q105" s="4351">
        <f>+(V105+V106+V107+V108+V109+V110+V111+V112+V113+V114+V115+V116+V117+V118)/R105</f>
        <v>0.78874688239295443</v>
      </c>
      <c r="R105" s="4301">
        <v>552359943</v>
      </c>
      <c r="S105" s="4345" t="s">
        <v>2015</v>
      </c>
      <c r="T105" s="4339" t="s">
        <v>2016</v>
      </c>
      <c r="U105" s="4354" t="s">
        <v>2017</v>
      </c>
      <c r="V105" s="2212">
        <v>242840543</v>
      </c>
      <c r="W105" s="2245">
        <v>111</v>
      </c>
      <c r="X105" s="2246" t="s">
        <v>2018</v>
      </c>
      <c r="Y105" s="4348">
        <v>292684</v>
      </c>
      <c r="Z105" s="4348">
        <v>282326</v>
      </c>
      <c r="AA105" s="4348">
        <v>135912</v>
      </c>
      <c r="AB105" s="4348">
        <v>45122</v>
      </c>
      <c r="AC105" s="4348">
        <v>307101</v>
      </c>
      <c r="AD105" s="4348">
        <v>86875</v>
      </c>
      <c r="AE105" s="4348">
        <v>2145</v>
      </c>
      <c r="AF105" s="4348">
        <v>12718</v>
      </c>
      <c r="AG105" s="4348">
        <v>26</v>
      </c>
      <c r="AH105" s="4348">
        <v>37</v>
      </c>
      <c r="AI105" s="4348" t="s">
        <v>1869</v>
      </c>
      <c r="AJ105" s="4348" t="s">
        <v>1869</v>
      </c>
      <c r="AK105" s="4348">
        <v>53164</v>
      </c>
      <c r="AL105" s="4348">
        <v>16982</v>
      </c>
      <c r="AM105" s="4348">
        <v>60013</v>
      </c>
      <c r="AN105" s="4348">
        <v>575010</v>
      </c>
      <c r="AO105" s="4326">
        <v>43466</v>
      </c>
      <c r="AP105" s="4326">
        <v>43830</v>
      </c>
      <c r="AQ105" s="3610" t="s">
        <v>1870</v>
      </c>
    </row>
    <row r="106" spans="1:43" ht="100.5" customHeight="1" x14ac:dyDescent="0.2">
      <c r="A106" s="2238"/>
      <c r="B106" s="1526"/>
      <c r="C106" s="2239"/>
      <c r="D106" s="1526"/>
      <c r="E106" s="2239"/>
      <c r="G106" s="2243"/>
      <c r="H106" s="2243"/>
      <c r="I106" s="2244"/>
      <c r="J106" s="4308"/>
      <c r="K106" s="4340"/>
      <c r="L106" s="4308"/>
      <c r="M106" s="4296"/>
      <c r="N106" s="4343"/>
      <c r="O106" s="4343"/>
      <c r="P106" s="4263"/>
      <c r="Q106" s="4352"/>
      <c r="R106" s="4302"/>
      <c r="S106" s="4346"/>
      <c r="T106" s="4340"/>
      <c r="U106" s="4354"/>
      <c r="V106" s="2212">
        <v>4271940</v>
      </c>
      <c r="W106" s="2245">
        <v>107</v>
      </c>
      <c r="X106" s="2246" t="s">
        <v>2019</v>
      </c>
      <c r="Y106" s="4349"/>
      <c r="Z106" s="4349"/>
      <c r="AA106" s="4349"/>
      <c r="AB106" s="4349"/>
      <c r="AC106" s="4349"/>
      <c r="AD106" s="4349"/>
      <c r="AE106" s="4349"/>
      <c r="AF106" s="4349"/>
      <c r="AG106" s="4349"/>
      <c r="AH106" s="4349"/>
      <c r="AI106" s="4349"/>
      <c r="AJ106" s="4349"/>
      <c r="AK106" s="4349"/>
      <c r="AL106" s="4349"/>
      <c r="AM106" s="4349"/>
      <c r="AN106" s="4349"/>
      <c r="AO106" s="4327"/>
      <c r="AP106" s="4327"/>
      <c r="AQ106" s="3276"/>
    </row>
    <row r="107" spans="1:43" ht="58.5" customHeight="1" x14ac:dyDescent="0.2">
      <c r="A107" s="2238"/>
      <c r="B107" s="1526"/>
      <c r="C107" s="2239"/>
      <c r="D107" s="1526"/>
      <c r="E107" s="2239"/>
      <c r="G107" s="2243"/>
      <c r="H107" s="2243"/>
      <c r="I107" s="2244"/>
      <c r="J107" s="4308"/>
      <c r="K107" s="4340"/>
      <c r="L107" s="4308"/>
      <c r="M107" s="4296"/>
      <c r="N107" s="4343"/>
      <c r="O107" s="4343"/>
      <c r="P107" s="4263"/>
      <c r="Q107" s="4352"/>
      <c r="R107" s="4302"/>
      <c r="S107" s="4346"/>
      <c r="T107" s="4340"/>
      <c r="U107" s="4354"/>
      <c r="V107" s="2212">
        <v>80200000</v>
      </c>
      <c r="W107" s="2247">
        <v>61</v>
      </c>
      <c r="X107" s="2246" t="s">
        <v>1868</v>
      </c>
      <c r="Y107" s="4349"/>
      <c r="Z107" s="4349"/>
      <c r="AA107" s="4349"/>
      <c r="AB107" s="4349"/>
      <c r="AC107" s="4349"/>
      <c r="AD107" s="4349"/>
      <c r="AE107" s="4349"/>
      <c r="AF107" s="4349"/>
      <c r="AG107" s="4349"/>
      <c r="AH107" s="4349"/>
      <c r="AI107" s="4349"/>
      <c r="AJ107" s="4349"/>
      <c r="AK107" s="4349"/>
      <c r="AL107" s="4349"/>
      <c r="AM107" s="4349"/>
      <c r="AN107" s="4349"/>
      <c r="AO107" s="4327"/>
      <c r="AP107" s="4327"/>
      <c r="AQ107" s="3276"/>
    </row>
    <row r="108" spans="1:43" ht="60" customHeight="1" x14ac:dyDescent="0.2">
      <c r="A108" s="2238"/>
      <c r="B108" s="1526"/>
      <c r="C108" s="2239"/>
      <c r="D108" s="1526"/>
      <c r="E108" s="2239"/>
      <c r="G108" s="2243"/>
      <c r="H108" s="2243"/>
      <c r="I108" s="2244"/>
      <c r="J108" s="4308"/>
      <c r="K108" s="4340"/>
      <c r="L108" s="4308"/>
      <c r="M108" s="4296"/>
      <c r="N108" s="4343"/>
      <c r="O108" s="4343"/>
      <c r="P108" s="4263"/>
      <c r="Q108" s="4352"/>
      <c r="R108" s="4302"/>
      <c r="S108" s="4346"/>
      <c r="T108" s="4340"/>
      <c r="U108" s="4354" t="s">
        <v>2020</v>
      </c>
      <c r="V108" s="2212">
        <v>7000000</v>
      </c>
      <c r="W108" s="2247">
        <v>61</v>
      </c>
      <c r="X108" s="2246" t="s">
        <v>1868</v>
      </c>
      <c r="Y108" s="4349"/>
      <c r="Z108" s="4349"/>
      <c r="AA108" s="4349"/>
      <c r="AB108" s="4349"/>
      <c r="AC108" s="4349"/>
      <c r="AD108" s="4349"/>
      <c r="AE108" s="4349"/>
      <c r="AF108" s="4349"/>
      <c r="AG108" s="4349"/>
      <c r="AH108" s="4349"/>
      <c r="AI108" s="4349"/>
      <c r="AJ108" s="4349"/>
      <c r="AK108" s="4349"/>
      <c r="AL108" s="4349"/>
      <c r="AM108" s="4349"/>
      <c r="AN108" s="4349"/>
      <c r="AO108" s="4327"/>
      <c r="AP108" s="4327"/>
      <c r="AQ108" s="3276"/>
    </row>
    <row r="109" spans="1:43" ht="90" customHeight="1" x14ac:dyDescent="0.2">
      <c r="A109" s="2238"/>
      <c r="B109" s="1526"/>
      <c r="C109" s="2239"/>
      <c r="D109" s="1526"/>
      <c r="E109" s="2239"/>
      <c r="G109" s="2243"/>
      <c r="H109" s="2243"/>
      <c r="I109" s="2244"/>
      <c r="J109" s="4308"/>
      <c r="K109" s="4340"/>
      <c r="L109" s="4308"/>
      <c r="M109" s="4296"/>
      <c r="N109" s="4343"/>
      <c r="O109" s="4343"/>
      <c r="P109" s="4263"/>
      <c r="Q109" s="4352"/>
      <c r="R109" s="4302"/>
      <c r="S109" s="4346"/>
      <c r="T109" s="4340"/>
      <c r="U109" s="4354"/>
      <c r="V109" s="2212">
        <v>4271940</v>
      </c>
      <c r="W109" s="2245">
        <v>107</v>
      </c>
      <c r="X109" s="2246" t="s">
        <v>2019</v>
      </c>
      <c r="Y109" s="4349"/>
      <c r="Z109" s="4349"/>
      <c r="AA109" s="4349"/>
      <c r="AB109" s="4349"/>
      <c r="AC109" s="4349"/>
      <c r="AD109" s="4349"/>
      <c r="AE109" s="4349"/>
      <c r="AF109" s="4349"/>
      <c r="AG109" s="4349"/>
      <c r="AH109" s="4349"/>
      <c r="AI109" s="4349"/>
      <c r="AJ109" s="4349"/>
      <c r="AK109" s="4349"/>
      <c r="AL109" s="4349"/>
      <c r="AM109" s="4349"/>
      <c r="AN109" s="4349"/>
      <c r="AO109" s="4327"/>
      <c r="AP109" s="4327"/>
      <c r="AQ109" s="3276"/>
    </row>
    <row r="110" spans="1:43" ht="51.75" customHeight="1" x14ac:dyDescent="0.2">
      <c r="A110" s="2238"/>
      <c r="B110" s="1526"/>
      <c r="C110" s="2239"/>
      <c r="D110" s="1526"/>
      <c r="E110" s="2239"/>
      <c r="G110" s="2243"/>
      <c r="H110" s="2243"/>
      <c r="I110" s="2244"/>
      <c r="J110" s="4308"/>
      <c r="K110" s="4340"/>
      <c r="L110" s="4308"/>
      <c r="M110" s="4296"/>
      <c r="N110" s="4343"/>
      <c r="O110" s="4343"/>
      <c r="P110" s="4263"/>
      <c r="Q110" s="4352"/>
      <c r="R110" s="4302"/>
      <c r="S110" s="4346"/>
      <c r="T110" s="4340"/>
      <c r="U110" s="4358" t="s">
        <v>2021</v>
      </c>
      <c r="V110" s="2212">
        <v>10000000</v>
      </c>
      <c r="W110" s="2247">
        <v>61</v>
      </c>
      <c r="X110" s="2246" t="s">
        <v>1868</v>
      </c>
      <c r="Y110" s="4349"/>
      <c r="Z110" s="4349"/>
      <c r="AA110" s="4349"/>
      <c r="AB110" s="4349"/>
      <c r="AC110" s="4349"/>
      <c r="AD110" s="4349"/>
      <c r="AE110" s="4349"/>
      <c r="AF110" s="4349"/>
      <c r="AG110" s="4349"/>
      <c r="AH110" s="4349"/>
      <c r="AI110" s="4349"/>
      <c r="AJ110" s="4349"/>
      <c r="AK110" s="4349"/>
      <c r="AL110" s="4349"/>
      <c r="AM110" s="4349"/>
      <c r="AN110" s="4349"/>
      <c r="AO110" s="4327"/>
      <c r="AP110" s="4327"/>
      <c r="AQ110" s="3276"/>
    </row>
    <row r="111" spans="1:43" ht="45" x14ac:dyDescent="0.2">
      <c r="A111" s="2238"/>
      <c r="B111" s="1526"/>
      <c r="C111" s="2239"/>
      <c r="D111" s="1526"/>
      <c r="E111" s="2239"/>
      <c r="G111" s="2243"/>
      <c r="H111" s="2243"/>
      <c r="I111" s="2244"/>
      <c r="J111" s="4308"/>
      <c r="K111" s="4340"/>
      <c r="L111" s="4308"/>
      <c r="M111" s="4296"/>
      <c r="N111" s="4343"/>
      <c r="O111" s="4343"/>
      <c r="P111" s="4263"/>
      <c r="Q111" s="4352"/>
      <c r="R111" s="4302"/>
      <c r="S111" s="4346"/>
      <c r="T111" s="4340"/>
      <c r="U111" s="4359"/>
      <c r="V111" s="2212">
        <v>4271940</v>
      </c>
      <c r="W111" s="2245">
        <v>107</v>
      </c>
      <c r="X111" s="2246" t="s">
        <v>2019</v>
      </c>
      <c r="Y111" s="4349"/>
      <c r="Z111" s="4349"/>
      <c r="AA111" s="4349"/>
      <c r="AB111" s="4349"/>
      <c r="AC111" s="4349"/>
      <c r="AD111" s="4349"/>
      <c r="AE111" s="4349"/>
      <c r="AF111" s="4349"/>
      <c r="AG111" s="4349"/>
      <c r="AH111" s="4349"/>
      <c r="AI111" s="4349"/>
      <c r="AJ111" s="4349"/>
      <c r="AK111" s="4349"/>
      <c r="AL111" s="4349"/>
      <c r="AM111" s="4349"/>
      <c r="AN111" s="4349"/>
      <c r="AO111" s="4327"/>
      <c r="AP111" s="4327"/>
      <c r="AQ111" s="3276"/>
    </row>
    <row r="112" spans="1:43" ht="49.5" customHeight="1" x14ac:dyDescent="0.2">
      <c r="A112" s="2238"/>
      <c r="B112" s="1526"/>
      <c r="C112" s="2239"/>
      <c r="D112" s="1526"/>
      <c r="E112" s="2239"/>
      <c r="G112" s="2243"/>
      <c r="H112" s="2243"/>
      <c r="I112" s="2244"/>
      <c r="J112" s="4308"/>
      <c r="K112" s="4340"/>
      <c r="L112" s="4308"/>
      <c r="M112" s="4296"/>
      <c r="N112" s="4343"/>
      <c r="O112" s="4343"/>
      <c r="P112" s="4263"/>
      <c r="Q112" s="4352"/>
      <c r="R112" s="4302"/>
      <c r="S112" s="4346"/>
      <c r="T112" s="4340"/>
      <c r="U112" s="4360"/>
      <c r="V112" s="2212">
        <v>10000000</v>
      </c>
      <c r="W112" s="2247">
        <v>20</v>
      </c>
      <c r="X112" s="2246" t="s">
        <v>62</v>
      </c>
      <c r="Y112" s="4349"/>
      <c r="Z112" s="4349"/>
      <c r="AA112" s="4349"/>
      <c r="AB112" s="4349"/>
      <c r="AC112" s="4349"/>
      <c r="AD112" s="4349"/>
      <c r="AE112" s="4349"/>
      <c r="AF112" s="4349"/>
      <c r="AG112" s="4349"/>
      <c r="AH112" s="4349"/>
      <c r="AI112" s="4349"/>
      <c r="AJ112" s="4349"/>
      <c r="AK112" s="4349"/>
      <c r="AL112" s="4349"/>
      <c r="AM112" s="4349"/>
      <c r="AN112" s="4349"/>
      <c r="AO112" s="4327"/>
      <c r="AP112" s="4327"/>
      <c r="AQ112" s="3276"/>
    </row>
    <row r="113" spans="1:43" ht="75" customHeight="1" x14ac:dyDescent="0.2">
      <c r="A113" s="2238"/>
      <c r="B113" s="1526"/>
      <c r="C113" s="2239"/>
      <c r="D113" s="1526"/>
      <c r="E113" s="2239"/>
      <c r="G113" s="2243"/>
      <c r="H113" s="2243"/>
      <c r="I113" s="2244"/>
      <c r="J113" s="4308"/>
      <c r="K113" s="4340"/>
      <c r="L113" s="4308"/>
      <c r="M113" s="4296"/>
      <c r="N113" s="4343"/>
      <c r="O113" s="4343"/>
      <c r="P113" s="4263"/>
      <c r="Q113" s="4352"/>
      <c r="R113" s="4302"/>
      <c r="S113" s="4346"/>
      <c r="T113" s="4340"/>
      <c r="U113" s="4354" t="s">
        <v>2022</v>
      </c>
      <c r="V113" s="2212">
        <v>20000000</v>
      </c>
      <c r="W113" s="2247">
        <v>20</v>
      </c>
      <c r="X113" s="2246" t="s">
        <v>62</v>
      </c>
      <c r="Y113" s="4349"/>
      <c r="Z113" s="4349"/>
      <c r="AA113" s="4349"/>
      <c r="AB113" s="4349"/>
      <c r="AC113" s="4349"/>
      <c r="AD113" s="4349"/>
      <c r="AE113" s="4349"/>
      <c r="AF113" s="4349"/>
      <c r="AG113" s="4349"/>
      <c r="AH113" s="4349"/>
      <c r="AI113" s="4349"/>
      <c r="AJ113" s="4349"/>
      <c r="AK113" s="4349"/>
      <c r="AL113" s="4349"/>
      <c r="AM113" s="4349"/>
      <c r="AN113" s="4349"/>
      <c r="AO113" s="4327"/>
      <c r="AP113" s="4327"/>
      <c r="AQ113" s="3276"/>
    </row>
    <row r="114" spans="1:43" ht="45" x14ac:dyDescent="0.2">
      <c r="A114" s="2238"/>
      <c r="B114" s="1526"/>
      <c r="C114" s="2239"/>
      <c r="D114" s="1526"/>
      <c r="E114" s="2239"/>
      <c r="G114" s="2243"/>
      <c r="H114" s="2243"/>
      <c r="I114" s="2244"/>
      <c r="J114" s="4308"/>
      <c r="K114" s="4340"/>
      <c r="L114" s="4308"/>
      <c r="M114" s="4296"/>
      <c r="N114" s="4343"/>
      <c r="O114" s="4343"/>
      <c r="P114" s="4263"/>
      <c r="Q114" s="4352"/>
      <c r="R114" s="4302"/>
      <c r="S114" s="4346"/>
      <c r="T114" s="4340"/>
      <c r="U114" s="4354"/>
      <c r="V114" s="2212">
        <v>4271940</v>
      </c>
      <c r="W114" s="2245">
        <v>107</v>
      </c>
      <c r="X114" s="2246" t="s">
        <v>2019</v>
      </c>
      <c r="Y114" s="4349"/>
      <c r="Z114" s="4349"/>
      <c r="AA114" s="4349"/>
      <c r="AB114" s="4349"/>
      <c r="AC114" s="4349"/>
      <c r="AD114" s="4349"/>
      <c r="AE114" s="4349"/>
      <c r="AF114" s="4349"/>
      <c r="AG114" s="4349"/>
      <c r="AH114" s="4349"/>
      <c r="AI114" s="4349"/>
      <c r="AJ114" s="4349"/>
      <c r="AK114" s="4349"/>
      <c r="AL114" s="4349"/>
      <c r="AM114" s="4349"/>
      <c r="AN114" s="4349"/>
      <c r="AO114" s="4327"/>
      <c r="AP114" s="4327"/>
      <c r="AQ114" s="3276"/>
    </row>
    <row r="115" spans="1:43" ht="72.75" customHeight="1" x14ac:dyDescent="0.2">
      <c r="A115" s="2238"/>
      <c r="B115" s="1526"/>
      <c r="C115" s="2239"/>
      <c r="D115" s="1526"/>
      <c r="E115" s="2239"/>
      <c r="G115" s="2243"/>
      <c r="H115" s="2243"/>
      <c r="I115" s="2244"/>
      <c r="J115" s="4308"/>
      <c r="K115" s="4340"/>
      <c r="L115" s="4308"/>
      <c r="M115" s="4296"/>
      <c r="N115" s="4343"/>
      <c r="O115" s="4343"/>
      <c r="P115" s="4263"/>
      <c r="Q115" s="4352"/>
      <c r="R115" s="4302"/>
      <c r="S115" s="4346"/>
      <c r="T115" s="4340"/>
      <c r="U115" s="4354" t="s">
        <v>2023</v>
      </c>
      <c r="V115" s="2212">
        <v>20000000</v>
      </c>
      <c r="W115" s="2247">
        <v>20</v>
      </c>
      <c r="X115" s="2246" t="s">
        <v>62</v>
      </c>
      <c r="Y115" s="4349"/>
      <c r="Z115" s="4349"/>
      <c r="AA115" s="4349"/>
      <c r="AB115" s="4349"/>
      <c r="AC115" s="4349"/>
      <c r="AD115" s="4349"/>
      <c r="AE115" s="4349"/>
      <c r="AF115" s="4349"/>
      <c r="AG115" s="4349"/>
      <c r="AH115" s="4349"/>
      <c r="AI115" s="4349"/>
      <c r="AJ115" s="4349"/>
      <c r="AK115" s="4349"/>
      <c r="AL115" s="4349"/>
      <c r="AM115" s="4349"/>
      <c r="AN115" s="4349"/>
      <c r="AO115" s="4327"/>
      <c r="AP115" s="4327"/>
      <c r="AQ115" s="3276"/>
    </row>
    <row r="116" spans="1:43" ht="81.75" customHeight="1" x14ac:dyDescent="0.2">
      <c r="A116" s="2238"/>
      <c r="B116" s="1526"/>
      <c r="C116" s="2239"/>
      <c r="D116" s="1526"/>
      <c r="E116" s="2239"/>
      <c r="G116" s="2243"/>
      <c r="H116" s="2243"/>
      <c r="I116" s="2244"/>
      <c r="J116" s="4308"/>
      <c r="K116" s="4340"/>
      <c r="L116" s="4308"/>
      <c r="M116" s="4296"/>
      <c r="N116" s="4343"/>
      <c r="O116" s="4343"/>
      <c r="P116" s="4263"/>
      <c r="Q116" s="4352"/>
      <c r="R116" s="4302"/>
      <c r="S116" s="4346"/>
      <c r="T116" s="4340"/>
      <c r="U116" s="4354"/>
      <c r="V116" s="2212">
        <v>4271940</v>
      </c>
      <c r="W116" s="2245">
        <v>107</v>
      </c>
      <c r="X116" s="2246" t="s">
        <v>2019</v>
      </c>
      <c r="Y116" s="4349"/>
      <c r="Z116" s="4349"/>
      <c r="AA116" s="4349"/>
      <c r="AB116" s="4349"/>
      <c r="AC116" s="4349"/>
      <c r="AD116" s="4349"/>
      <c r="AE116" s="4349"/>
      <c r="AF116" s="4349"/>
      <c r="AG116" s="4349"/>
      <c r="AH116" s="4349"/>
      <c r="AI116" s="4349"/>
      <c r="AJ116" s="4349"/>
      <c r="AK116" s="4349"/>
      <c r="AL116" s="4349"/>
      <c r="AM116" s="4349"/>
      <c r="AN116" s="4349"/>
      <c r="AO116" s="4327"/>
      <c r="AP116" s="4327"/>
      <c r="AQ116" s="3276"/>
    </row>
    <row r="117" spans="1:43" ht="90" customHeight="1" x14ac:dyDescent="0.2">
      <c r="A117" s="2238"/>
      <c r="B117" s="1526"/>
      <c r="C117" s="2239"/>
      <c r="D117" s="1526"/>
      <c r="E117" s="2239"/>
      <c r="G117" s="2243"/>
      <c r="H117" s="2243"/>
      <c r="I117" s="2244"/>
      <c r="J117" s="4308"/>
      <c r="K117" s="4340"/>
      <c r="L117" s="4308"/>
      <c r="M117" s="4296"/>
      <c r="N117" s="4343"/>
      <c r="O117" s="4343"/>
      <c r="P117" s="4263"/>
      <c r="Q117" s="4352"/>
      <c r="R117" s="4302"/>
      <c r="S117" s="4346"/>
      <c r="T117" s="4340"/>
      <c r="U117" s="4361" t="s">
        <v>2024</v>
      </c>
      <c r="V117" s="2212">
        <v>20000000</v>
      </c>
      <c r="W117" s="2247">
        <v>20</v>
      </c>
      <c r="X117" s="2246" t="s">
        <v>62</v>
      </c>
      <c r="Y117" s="4349"/>
      <c r="Z117" s="4349"/>
      <c r="AA117" s="4349"/>
      <c r="AB117" s="4349"/>
      <c r="AC117" s="4349"/>
      <c r="AD117" s="4349"/>
      <c r="AE117" s="4349"/>
      <c r="AF117" s="4349"/>
      <c r="AG117" s="4349"/>
      <c r="AH117" s="4349"/>
      <c r="AI117" s="4349"/>
      <c r="AJ117" s="4349"/>
      <c r="AK117" s="4349"/>
      <c r="AL117" s="4349"/>
      <c r="AM117" s="4349"/>
      <c r="AN117" s="4349"/>
      <c r="AO117" s="4327"/>
      <c r="AP117" s="4327"/>
      <c r="AQ117" s="3276"/>
    </row>
    <row r="118" spans="1:43" ht="45" x14ac:dyDescent="0.2">
      <c r="A118" s="2238"/>
      <c r="B118" s="1526"/>
      <c r="C118" s="2239"/>
      <c r="D118" s="1526"/>
      <c r="E118" s="2239"/>
      <c r="G118" s="2243"/>
      <c r="H118" s="2243"/>
      <c r="I118" s="2244"/>
      <c r="J118" s="4309"/>
      <c r="K118" s="4341"/>
      <c r="L118" s="4309"/>
      <c r="M118" s="4297"/>
      <c r="N118" s="4343"/>
      <c r="O118" s="4343"/>
      <c r="P118" s="4263"/>
      <c r="Q118" s="4353"/>
      <c r="R118" s="4302"/>
      <c r="S118" s="4346"/>
      <c r="T118" s="4341"/>
      <c r="U118" s="4362"/>
      <c r="V118" s="2212">
        <v>4271940</v>
      </c>
      <c r="W118" s="2245">
        <v>107</v>
      </c>
      <c r="X118" s="2246" t="s">
        <v>2019</v>
      </c>
      <c r="Y118" s="4349"/>
      <c r="Z118" s="4349"/>
      <c r="AA118" s="4349"/>
      <c r="AB118" s="4349"/>
      <c r="AC118" s="4349"/>
      <c r="AD118" s="4349"/>
      <c r="AE118" s="4349"/>
      <c r="AF118" s="4349"/>
      <c r="AG118" s="4349"/>
      <c r="AH118" s="4349"/>
      <c r="AI118" s="4349"/>
      <c r="AJ118" s="4349"/>
      <c r="AK118" s="4349"/>
      <c r="AL118" s="4349"/>
      <c r="AM118" s="4349"/>
      <c r="AN118" s="4349"/>
      <c r="AO118" s="4327"/>
      <c r="AP118" s="4327"/>
      <c r="AQ118" s="3276"/>
    </row>
    <row r="119" spans="1:43" ht="58.5" customHeight="1" x14ac:dyDescent="0.2">
      <c r="A119" s="2238"/>
      <c r="B119" s="1526"/>
      <c r="C119" s="2239"/>
      <c r="D119" s="1526"/>
      <c r="E119" s="2239"/>
      <c r="G119" s="2248"/>
      <c r="H119" s="2248"/>
      <c r="I119" s="2249"/>
      <c r="J119" s="4259">
        <v>145</v>
      </c>
      <c r="K119" s="4345" t="s">
        <v>2025</v>
      </c>
      <c r="L119" s="4342" t="s">
        <v>1861</v>
      </c>
      <c r="M119" s="4295">
        <v>1</v>
      </c>
      <c r="N119" s="4343"/>
      <c r="O119" s="4343"/>
      <c r="P119" s="4263"/>
      <c r="Q119" s="4355">
        <f>+(V119+V120+V121+V122+V123+V124+V125+V126)/R105</f>
        <v>0.2112531176070456</v>
      </c>
      <c r="R119" s="4302"/>
      <c r="S119" s="4346"/>
      <c r="T119" s="4262" t="s">
        <v>2026</v>
      </c>
      <c r="U119" s="4361" t="s">
        <v>2027</v>
      </c>
      <c r="V119" s="2212">
        <v>33000000</v>
      </c>
      <c r="W119" s="2250">
        <v>61</v>
      </c>
      <c r="X119" s="2251" t="s">
        <v>1868</v>
      </c>
      <c r="Y119" s="4349"/>
      <c r="Z119" s="4349"/>
      <c r="AA119" s="4349"/>
      <c r="AB119" s="4349"/>
      <c r="AC119" s="4349"/>
      <c r="AD119" s="4349"/>
      <c r="AE119" s="4349"/>
      <c r="AF119" s="4349"/>
      <c r="AG119" s="4349"/>
      <c r="AH119" s="4349"/>
      <c r="AI119" s="4349"/>
      <c r="AJ119" s="4349"/>
      <c r="AK119" s="4349"/>
      <c r="AL119" s="4349"/>
      <c r="AM119" s="4349"/>
      <c r="AN119" s="4349"/>
      <c r="AO119" s="4327"/>
      <c r="AP119" s="4327"/>
      <c r="AQ119" s="3276"/>
    </row>
    <row r="120" spans="1:43" ht="87.75" customHeight="1" x14ac:dyDescent="0.2">
      <c r="A120" s="2238"/>
      <c r="B120" s="1526"/>
      <c r="C120" s="2239"/>
      <c r="D120" s="1526"/>
      <c r="E120" s="2239"/>
      <c r="G120" s="2248"/>
      <c r="H120" s="2248"/>
      <c r="I120" s="2249"/>
      <c r="J120" s="4260"/>
      <c r="K120" s="4346"/>
      <c r="L120" s="4343"/>
      <c r="M120" s="4296"/>
      <c r="N120" s="4343"/>
      <c r="O120" s="4343"/>
      <c r="P120" s="4263"/>
      <c r="Q120" s="4356"/>
      <c r="R120" s="4302"/>
      <c r="S120" s="4346"/>
      <c r="T120" s="4263"/>
      <c r="U120" s="4362"/>
      <c r="V120" s="2212">
        <v>4271940</v>
      </c>
      <c r="W120" s="2245">
        <v>107</v>
      </c>
      <c r="X120" s="2246" t="s">
        <v>2019</v>
      </c>
      <c r="Y120" s="4349"/>
      <c r="Z120" s="4349"/>
      <c r="AA120" s="4349"/>
      <c r="AB120" s="4349"/>
      <c r="AC120" s="4349"/>
      <c r="AD120" s="4349"/>
      <c r="AE120" s="4349"/>
      <c r="AF120" s="4349"/>
      <c r="AG120" s="4349"/>
      <c r="AH120" s="4349"/>
      <c r="AI120" s="4349"/>
      <c r="AJ120" s="4349"/>
      <c r="AK120" s="4349"/>
      <c r="AL120" s="4349"/>
      <c r="AM120" s="4349"/>
      <c r="AN120" s="4349"/>
      <c r="AO120" s="4327"/>
      <c r="AP120" s="4327"/>
      <c r="AQ120" s="3276"/>
    </row>
    <row r="121" spans="1:43" ht="61.5" customHeight="1" x14ac:dyDescent="0.2">
      <c r="A121" s="2238"/>
      <c r="B121" s="1526"/>
      <c r="C121" s="2239"/>
      <c r="D121" s="1526"/>
      <c r="E121" s="2239"/>
      <c r="G121" s="2248"/>
      <c r="H121" s="2248"/>
      <c r="I121" s="2249"/>
      <c r="J121" s="4260"/>
      <c r="K121" s="4346"/>
      <c r="L121" s="4343"/>
      <c r="M121" s="4296"/>
      <c r="N121" s="4343"/>
      <c r="O121" s="4343"/>
      <c r="P121" s="4263"/>
      <c r="Q121" s="4356"/>
      <c r="R121" s="4302"/>
      <c r="S121" s="4346"/>
      <c r="T121" s="4263"/>
      <c r="U121" s="4361" t="s">
        <v>2028</v>
      </c>
      <c r="V121" s="2212">
        <v>33000000</v>
      </c>
      <c r="W121" s="2250">
        <v>61</v>
      </c>
      <c r="X121" s="2251" t="s">
        <v>1868</v>
      </c>
      <c r="Y121" s="4349"/>
      <c r="Z121" s="4349"/>
      <c r="AA121" s="4349"/>
      <c r="AB121" s="4349"/>
      <c r="AC121" s="4349"/>
      <c r="AD121" s="4349"/>
      <c r="AE121" s="4349"/>
      <c r="AF121" s="4349"/>
      <c r="AG121" s="4349"/>
      <c r="AH121" s="4349"/>
      <c r="AI121" s="4349"/>
      <c r="AJ121" s="4349"/>
      <c r="AK121" s="4349"/>
      <c r="AL121" s="4349"/>
      <c r="AM121" s="4349"/>
      <c r="AN121" s="4349"/>
      <c r="AO121" s="4327"/>
      <c r="AP121" s="4327"/>
      <c r="AQ121" s="3276"/>
    </row>
    <row r="122" spans="1:43" ht="45" x14ac:dyDescent="0.2">
      <c r="A122" s="2238"/>
      <c r="B122" s="1526"/>
      <c r="C122" s="2239"/>
      <c r="D122" s="1526"/>
      <c r="E122" s="2239"/>
      <c r="G122" s="2248"/>
      <c r="H122" s="2248"/>
      <c r="I122" s="2249"/>
      <c r="J122" s="4260"/>
      <c r="K122" s="4346"/>
      <c r="L122" s="4343"/>
      <c r="M122" s="4296"/>
      <c r="N122" s="4343"/>
      <c r="O122" s="4343"/>
      <c r="P122" s="4263"/>
      <c r="Q122" s="4356"/>
      <c r="R122" s="4302"/>
      <c r="S122" s="4346"/>
      <c r="T122" s="4263"/>
      <c r="U122" s="4362"/>
      <c r="V122" s="2212">
        <v>4271940</v>
      </c>
      <c r="W122" s="2245">
        <v>107</v>
      </c>
      <c r="X122" s="2246" t="s">
        <v>2019</v>
      </c>
      <c r="Y122" s="4349"/>
      <c r="Z122" s="4349"/>
      <c r="AA122" s="4349"/>
      <c r="AB122" s="4349"/>
      <c r="AC122" s="4349"/>
      <c r="AD122" s="4349"/>
      <c r="AE122" s="4349"/>
      <c r="AF122" s="4349"/>
      <c r="AG122" s="4349"/>
      <c r="AH122" s="4349"/>
      <c r="AI122" s="4349"/>
      <c r="AJ122" s="4349"/>
      <c r="AK122" s="4349"/>
      <c r="AL122" s="4349"/>
      <c r="AM122" s="4349"/>
      <c r="AN122" s="4349"/>
      <c r="AO122" s="4327"/>
      <c r="AP122" s="4327"/>
      <c r="AQ122" s="3276"/>
    </row>
    <row r="123" spans="1:43" ht="65.25" customHeight="1" x14ac:dyDescent="0.2">
      <c r="A123" s="2238"/>
      <c r="B123" s="1526"/>
      <c r="C123" s="2239"/>
      <c r="D123" s="1526"/>
      <c r="E123" s="2239"/>
      <c r="G123" s="2248"/>
      <c r="H123" s="2248"/>
      <c r="I123" s="2249"/>
      <c r="J123" s="4260"/>
      <c r="K123" s="4346"/>
      <c r="L123" s="4343"/>
      <c r="M123" s="4296"/>
      <c r="N123" s="4343"/>
      <c r="O123" s="4343"/>
      <c r="P123" s="4263"/>
      <c r="Q123" s="4356"/>
      <c r="R123" s="4302"/>
      <c r="S123" s="4346"/>
      <c r="T123" s="4263"/>
      <c r="U123" s="4361" t="s">
        <v>2029</v>
      </c>
      <c r="V123" s="2212">
        <v>600000</v>
      </c>
      <c r="W123" s="2250">
        <v>61</v>
      </c>
      <c r="X123" s="2251" t="s">
        <v>1868</v>
      </c>
      <c r="Y123" s="4349"/>
      <c r="Z123" s="4349"/>
      <c r="AA123" s="4349"/>
      <c r="AB123" s="4349"/>
      <c r="AC123" s="4349"/>
      <c r="AD123" s="4349"/>
      <c r="AE123" s="4349"/>
      <c r="AF123" s="4349"/>
      <c r="AG123" s="4349"/>
      <c r="AH123" s="4349"/>
      <c r="AI123" s="4349"/>
      <c r="AJ123" s="4349"/>
      <c r="AK123" s="4349"/>
      <c r="AL123" s="4349"/>
      <c r="AM123" s="4349"/>
      <c r="AN123" s="4349"/>
      <c r="AO123" s="4327"/>
      <c r="AP123" s="4327"/>
      <c r="AQ123" s="3276"/>
    </row>
    <row r="124" spans="1:43" ht="45" x14ac:dyDescent="0.2">
      <c r="A124" s="2238"/>
      <c r="B124" s="1526"/>
      <c r="C124" s="2239"/>
      <c r="D124" s="1526"/>
      <c r="E124" s="2239"/>
      <c r="G124" s="2248"/>
      <c r="H124" s="2248"/>
      <c r="I124" s="2249"/>
      <c r="J124" s="4260"/>
      <c r="K124" s="4346"/>
      <c r="L124" s="4343"/>
      <c r="M124" s="4296"/>
      <c r="N124" s="4343"/>
      <c r="O124" s="4343"/>
      <c r="P124" s="4263"/>
      <c r="Q124" s="4356"/>
      <c r="R124" s="4302"/>
      <c r="S124" s="4346"/>
      <c r="T124" s="4263"/>
      <c r="U124" s="4362"/>
      <c r="V124" s="2212">
        <v>4271940</v>
      </c>
      <c r="W124" s="2245">
        <v>107</v>
      </c>
      <c r="X124" s="2246" t="s">
        <v>2019</v>
      </c>
      <c r="Y124" s="4349"/>
      <c r="Z124" s="4349"/>
      <c r="AA124" s="4349"/>
      <c r="AB124" s="4349"/>
      <c r="AC124" s="4349"/>
      <c r="AD124" s="4349"/>
      <c r="AE124" s="4349"/>
      <c r="AF124" s="4349"/>
      <c r="AG124" s="4349"/>
      <c r="AH124" s="4349"/>
      <c r="AI124" s="4349"/>
      <c r="AJ124" s="4349"/>
      <c r="AK124" s="4349"/>
      <c r="AL124" s="4349"/>
      <c r="AM124" s="4349"/>
      <c r="AN124" s="4349"/>
      <c r="AO124" s="4327"/>
      <c r="AP124" s="4327"/>
      <c r="AQ124" s="3276"/>
    </row>
    <row r="125" spans="1:43" ht="60" customHeight="1" x14ac:dyDescent="0.2">
      <c r="A125" s="2238"/>
      <c r="B125" s="1526"/>
      <c r="C125" s="2239"/>
      <c r="D125" s="1526"/>
      <c r="E125" s="2239"/>
      <c r="G125" s="2248"/>
      <c r="H125" s="2248"/>
      <c r="I125" s="2249"/>
      <c r="J125" s="4260"/>
      <c r="K125" s="4346"/>
      <c r="L125" s="4343"/>
      <c r="M125" s="4296"/>
      <c r="N125" s="4343"/>
      <c r="O125" s="4343"/>
      <c r="P125" s="4263"/>
      <c r="Q125" s="4356"/>
      <c r="R125" s="4302"/>
      <c r="S125" s="4346"/>
      <c r="T125" s="4263"/>
      <c r="U125" s="4259" t="s">
        <v>2030</v>
      </c>
      <c r="V125" s="2212">
        <v>33000000</v>
      </c>
      <c r="W125" s="2250">
        <v>61</v>
      </c>
      <c r="X125" s="2251" t="s">
        <v>1868</v>
      </c>
      <c r="Y125" s="4349"/>
      <c r="Z125" s="4349"/>
      <c r="AA125" s="4349"/>
      <c r="AB125" s="4349"/>
      <c r="AC125" s="4349"/>
      <c r="AD125" s="4349"/>
      <c r="AE125" s="4349"/>
      <c r="AF125" s="4349"/>
      <c r="AG125" s="4349"/>
      <c r="AH125" s="4349"/>
      <c r="AI125" s="4349"/>
      <c r="AJ125" s="4349"/>
      <c r="AK125" s="4349"/>
      <c r="AL125" s="4349"/>
      <c r="AM125" s="4349"/>
      <c r="AN125" s="4349"/>
      <c r="AO125" s="4327"/>
      <c r="AP125" s="4327"/>
      <c r="AQ125" s="3276"/>
    </row>
    <row r="126" spans="1:43" ht="45" x14ac:dyDescent="0.2">
      <c r="A126" s="2238"/>
      <c r="B126" s="1526"/>
      <c r="C126" s="2239"/>
      <c r="D126" s="1526"/>
      <c r="E126" s="2239"/>
      <c r="G126" s="2248"/>
      <c r="H126" s="2248"/>
      <c r="I126" s="2249"/>
      <c r="J126" s="4261"/>
      <c r="K126" s="4347"/>
      <c r="L126" s="4344"/>
      <c r="M126" s="4297"/>
      <c r="N126" s="4344"/>
      <c r="O126" s="4344"/>
      <c r="P126" s="2252"/>
      <c r="Q126" s="4357"/>
      <c r="R126" s="4303"/>
      <c r="S126" s="2253"/>
      <c r="T126" s="4264"/>
      <c r="U126" s="4261"/>
      <c r="V126" s="2212">
        <v>4271940</v>
      </c>
      <c r="W126" s="2245">
        <v>107</v>
      </c>
      <c r="X126" s="2246" t="s">
        <v>2019</v>
      </c>
      <c r="Y126" s="4350"/>
      <c r="Z126" s="4350"/>
      <c r="AA126" s="4350"/>
      <c r="AB126" s="4350"/>
      <c r="AC126" s="4350"/>
      <c r="AD126" s="4350"/>
      <c r="AE126" s="4350"/>
      <c r="AF126" s="4350"/>
      <c r="AG126" s="4350"/>
      <c r="AH126" s="4350"/>
      <c r="AI126" s="4350"/>
      <c r="AJ126" s="4350"/>
      <c r="AK126" s="4350"/>
      <c r="AL126" s="4350"/>
      <c r="AM126" s="4350"/>
      <c r="AN126" s="4350"/>
      <c r="AO126" s="4363"/>
      <c r="AP126" s="4363"/>
      <c r="AQ126" s="3277"/>
    </row>
    <row r="127" spans="1:43" ht="30" customHeight="1" x14ac:dyDescent="0.2">
      <c r="A127" s="2238"/>
      <c r="B127" s="1526"/>
      <c r="C127" s="2239"/>
      <c r="D127" s="1526"/>
      <c r="E127" s="2239"/>
      <c r="G127" s="2248"/>
      <c r="H127" s="2248"/>
      <c r="I127" s="2249"/>
      <c r="J127" s="4373">
        <v>146</v>
      </c>
      <c r="K127" s="4345" t="s">
        <v>2031</v>
      </c>
      <c r="L127" s="4342" t="s">
        <v>1861</v>
      </c>
      <c r="M127" s="4376"/>
      <c r="N127" s="2254"/>
      <c r="O127" s="4342" t="s">
        <v>2032</v>
      </c>
      <c r="P127" s="4262" t="s">
        <v>2033</v>
      </c>
      <c r="Q127" s="4355">
        <v>1</v>
      </c>
      <c r="R127" s="4301">
        <f>SUM(V127:V149)</f>
        <v>221605362</v>
      </c>
      <c r="S127" s="4345" t="s">
        <v>2034</v>
      </c>
      <c r="T127" s="4364" t="s">
        <v>2035</v>
      </c>
      <c r="U127" s="4367" t="s">
        <v>2036</v>
      </c>
      <c r="V127" s="2255">
        <v>10000000</v>
      </c>
      <c r="W127" s="2247">
        <v>61</v>
      </c>
      <c r="X127" s="2251" t="s">
        <v>2037</v>
      </c>
      <c r="Y127" s="4348">
        <v>292684</v>
      </c>
      <c r="Z127" s="4348">
        <v>282326</v>
      </c>
      <c r="AA127" s="4348">
        <v>135912</v>
      </c>
      <c r="AB127" s="4348">
        <v>45122</v>
      </c>
      <c r="AC127" s="4348">
        <v>307101</v>
      </c>
      <c r="AD127" s="4348">
        <v>86875</v>
      </c>
      <c r="AE127" s="4348">
        <v>2145</v>
      </c>
      <c r="AF127" s="4348">
        <v>12718</v>
      </c>
      <c r="AG127" s="4348">
        <v>26</v>
      </c>
      <c r="AH127" s="4348">
        <v>37</v>
      </c>
      <c r="AI127" s="4348" t="s">
        <v>1869</v>
      </c>
      <c r="AJ127" s="4348" t="s">
        <v>1869</v>
      </c>
      <c r="AK127" s="4348">
        <v>53164</v>
      </c>
      <c r="AL127" s="4348">
        <v>16982</v>
      </c>
      <c r="AM127" s="4348">
        <v>60013</v>
      </c>
      <c r="AN127" s="4348">
        <v>575010</v>
      </c>
      <c r="AO127" s="4326">
        <v>43466</v>
      </c>
      <c r="AP127" s="4326">
        <v>43830</v>
      </c>
      <c r="AQ127" s="3610" t="s">
        <v>1870</v>
      </c>
    </row>
    <row r="128" spans="1:43" ht="56.25" customHeight="1" x14ac:dyDescent="0.2">
      <c r="A128" s="2238"/>
      <c r="B128" s="1526"/>
      <c r="C128" s="2239"/>
      <c r="D128" s="1526"/>
      <c r="E128" s="2239"/>
      <c r="G128" s="2248"/>
      <c r="H128" s="2248"/>
      <c r="I128" s="2249"/>
      <c r="J128" s="4374"/>
      <c r="K128" s="4346"/>
      <c r="L128" s="4343"/>
      <c r="M128" s="4377"/>
      <c r="N128" s="2256"/>
      <c r="O128" s="4343"/>
      <c r="P128" s="4263"/>
      <c r="Q128" s="4356"/>
      <c r="R128" s="4302"/>
      <c r="S128" s="4346"/>
      <c r="T128" s="4365"/>
      <c r="U128" s="4368"/>
      <c r="V128" s="2255">
        <v>40000000</v>
      </c>
      <c r="W128" s="2247">
        <v>113</v>
      </c>
      <c r="X128" s="2251" t="s">
        <v>2038</v>
      </c>
      <c r="Y128" s="4349"/>
      <c r="Z128" s="4349"/>
      <c r="AA128" s="4349"/>
      <c r="AB128" s="4349"/>
      <c r="AC128" s="4349"/>
      <c r="AD128" s="4349"/>
      <c r="AE128" s="4349"/>
      <c r="AF128" s="4349"/>
      <c r="AG128" s="4349"/>
      <c r="AH128" s="4349"/>
      <c r="AI128" s="4349"/>
      <c r="AJ128" s="4349"/>
      <c r="AK128" s="4349"/>
      <c r="AL128" s="4349"/>
      <c r="AM128" s="4349"/>
      <c r="AN128" s="4349"/>
      <c r="AO128" s="4327"/>
      <c r="AP128" s="4327"/>
      <c r="AQ128" s="3611"/>
    </row>
    <row r="129" spans="1:43" ht="54" customHeight="1" x14ac:dyDescent="0.2">
      <c r="A129" s="2238"/>
      <c r="B129" s="1526"/>
      <c r="C129" s="2239"/>
      <c r="D129" s="1526"/>
      <c r="E129" s="2239"/>
      <c r="G129" s="2248"/>
      <c r="H129" s="2248"/>
      <c r="I129" s="2249"/>
      <c r="J129" s="4374"/>
      <c r="K129" s="4346"/>
      <c r="L129" s="4343"/>
      <c r="M129" s="4377"/>
      <c r="N129" s="2256"/>
      <c r="O129" s="4343"/>
      <c r="P129" s="4263"/>
      <c r="Q129" s="4356"/>
      <c r="R129" s="4302"/>
      <c r="S129" s="4346"/>
      <c r="T129" s="4365"/>
      <c r="U129" s="4369"/>
      <c r="V129" s="2255">
        <v>4000000</v>
      </c>
      <c r="W129" s="2247">
        <v>114</v>
      </c>
      <c r="X129" s="2251" t="s">
        <v>2039</v>
      </c>
      <c r="Y129" s="4349"/>
      <c r="Z129" s="4349"/>
      <c r="AA129" s="4349"/>
      <c r="AB129" s="4349"/>
      <c r="AC129" s="4349"/>
      <c r="AD129" s="4349"/>
      <c r="AE129" s="4349"/>
      <c r="AF129" s="4349"/>
      <c r="AG129" s="4349"/>
      <c r="AH129" s="4349"/>
      <c r="AI129" s="4349"/>
      <c r="AJ129" s="4349"/>
      <c r="AK129" s="4349"/>
      <c r="AL129" s="4349"/>
      <c r="AM129" s="4349"/>
      <c r="AN129" s="4349"/>
      <c r="AO129" s="4327"/>
      <c r="AP129" s="4327"/>
      <c r="AQ129" s="3611"/>
    </row>
    <row r="130" spans="1:43" ht="42.75" customHeight="1" x14ac:dyDescent="0.2">
      <c r="A130" s="2238"/>
      <c r="B130" s="1526"/>
      <c r="C130" s="2239"/>
      <c r="D130" s="1526"/>
      <c r="E130" s="2239"/>
      <c r="G130" s="2248"/>
      <c r="H130" s="2248"/>
      <c r="I130" s="2249"/>
      <c r="J130" s="4374"/>
      <c r="K130" s="4346"/>
      <c r="L130" s="4343"/>
      <c r="M130" s="4377"/>
      <c r="N130" s="2256"/>
      <c r="O130" s="4343"/>
      <c r="P130" s="4263"/>
      <c r="Q130" s="4356"/>
      <c r="R130" s="4302"/>
      <c r="S130" s="4346"/>
      <c r="T130" s="4365"/>
      <c r="U130" s="4367" t="s">
        <v>2040</v>
      </c>
      <c r="V130" s="2255">
        <v>1750000</v>
      </c>
      <c r="W130" s="2247">
        <v>61</v>
      </c>
      <c r="X130" s="2251" t="s">
        <v>2037</v>
      </c>
      <c r="Y130" s="4349"/>
      <c r="Z130" s="4349"/>
      <c r="AA130" s="4349"/>
      <c r="AB130" s="4349"/>
      <c r="AC130" s="4349"/>
      <c r="AD130" s="4349"/>
      <c r="AE130" s="4349"/>
      <c r="AF130" s="4349"/>
      <c r="AG130" s="4349"/>
      <c r="AH130" s="4349"/>
      <c r="AI130" s="4349"/>
      <c r="AJ130" s="4349"/>
      <c r="AK130" s="4349"/>
      <c r="AL130" s="4349"/>
      <c r="AM130" s="4349"/>
      <c r="AN130" s="4349"/>
      <c r="AO130" s="4327"/>
      <c r="AP130" s="4327"/>
      <c r="AQ130" s="3611"/>
    </row>
    <row r="131" spans="1:43" ht="52.5" customHeight="1" x14ac:dyDescent="0.2">
      <c r="A131" s="2238"/>
      <c r="B131" s="1526"/>
      <c r="C131" s="2239"/>
      <c r="D131" s="1526"/>
      <c r="E131" s="2239"/>
      <c r="G131" s="2248"/>
      <c r="H131" s="2248"/>
      <c r="I131" s="2249"/>
      <c r="J131" s="4374"/>
      <c r="K131" s="4346"/>
      <c r="L131" s="4343"/>
      <c r="M131" s="4377"/>
      <c r="N131" s="2256"/>
      <c r="O131" s="4343"/>
      <c r="P131" s="4263"/>
      <c r="Q131" s="4356"/>
      <c r="R131" s="4302"/>
      <c r="S131" s="4346"/>
      <c r="T131" s="4365"/>
      <c r="U131" s="4368"/>
      <c r="V131" s="2255">
        <v>3000000</v>
      </c>
      <c r="W131" s="2247">
        <v>113</v>
      </c>
      <c r="X131" s="2251" t="s">
        <v>2038</v>
      </c>
      <c r="Y131" s="4349"/>
      <c r="Z131" s="4349"/>
      <c r="AA131" s="4349"/>
      <c r="AB131" s="4349"/>
      <c r="AC131" s="4349"/>
      <c r="AD131" s="4349"/>
      <c r="AE131" s="4349"/>
      <c r="AF131" s="4349"/>
      <c r="AG131" s="4349"/>
      <c r="AH131" s="4349"/>
      <c r="AI131" s="4349"/>
      <c r="AJ131" s="4349"/>
      <c r="AK131" s="4349"/>
      <c r="AL131" s="4349"/>
      <c r="AM131" s="4349"/>
      <c r="AN131" s="4349"/>
      <c r="AO131" s="4327"/>
      <c r="AP131" s="4327"/>
      <c r="AQ131" s="3611"/>
    </row>
    <row r="132" spans="1:43" ht="52.5" customHeight="1" x14ac:dyDescent="0.2">
      <c r="A132" s="2238"/>
      <c r="B132" s="1526"/>
      <c r="C132" s="2239"/>
      <c r="D132" s="1526"/>
      <c r="E132" s="2239"/>
      <c r="G132" s="2248"/>
      <c r="H132" s="2248"/>
      <c r="I132" s="2249"/>
      <c r="J132" s="4374"/>
      <c r="K132" s="4346"/>
      <c r="L132" s="4343"/>
      <c r="M132" s="4377"/>
      <c r="N132" s="2256"/>
      <c r="O132" s="4343"/>
      <c r="P132" s="4263"/>
      <c r="Q132" s="4356"/>
      <c r="R132" s="4302"/>
      <c r="S132" s="4346"/>
      <c r="T132" s="4365"/>
      <c r="U132" s="4369"/>
      <c r="V132" s="2255">
        <v>250000</v>
      </c>
      <c r="W132" s="2247">
        <v>114</v>
      </c>
      <c r="X132" s="2251" t="s">
        <v>2039</v>
      </c>
      <c r="Y132" s="4349"/>
      <c r="Z132" s="4349"/>
      <c r="AA132" s="4349"/>
      <c r="AB132" s="4349"/>
      <c r="AC132" s="4349"/>
      <c r="AD132" s="4349"/>
      <c r="AE132" s="4349"/>
      <c r="AF132" s="4349"/>
      <c r="AG132" s="4349"/>
      <c r="AH132" s="4349"/>
      <c r="AI132" s="4349"/>
      <c r="AJ132" s="4349"/>
      <c r="AK132" s="4349"/>
      <c r="AL132" s="4349"/>
      <c r="AM132" s="4349"/>
      <c r="AN132" s="4349"/>
      <c r="AO132" s="4327"/>
      <c r="AP132" s="4327"/>
      <c r="AQ132" s="3611"/>
    </row>
    <row r="133" spans="1:43" ht="45" x14ac:dyDescent="0.2">
      <c r="A133" s="2238"/>
      <c r="B133" s="1526"/>
      <c r="C133" s="2239"/>
      <c r="D133" s="1526"/>
      <c r="E133" s="2239"/>
      <c r="G133" s="2248"/>
      <c r="H133" s="2248"/>
      <c r="I133" s="2249"/>
      <c r="J133" s="4374"/>
      <c r="K133" s="4346"/>
      <c r="L133" s="4343"/>
      <c r="M133" s="4377"/>
      <c r="N133" s="2256" t="s">
        <v>2041</v>
      </c>
      <c r="O133" s="4343"/>
      <c r="P133" s="4263"/>
      <c r="Q133" s="4356"/>
      <c r="R133" s="4302"/>
      <c r="S133" s="4346"/>
      <c r="T133" s="4365"/>
      <c r="U133" s="2171" t="s">
        <v>2042</v>
      </c>
      <c r="V133" s="2255">
        <v>8000000</v>
      </c>
      <c r="W133" s="2247">
        <v>113</v>
      </c>
      <c r="X133" s="2251" t="s">
        <v>2043</v>
      </c>
      <c r="Y133" s="4349"/>
      <c r="Z133" s="4349"/>
      <c r="AA133" s="4349"/>
      <c r="AB133" s="4349"/>
      <c r="AC133" s="4349"/>
      <c r="AD133" s="4349"/>
      <c r="AE133" s="4349"/>
      <c r="AF133" s="4349"/>
      <c r="AG133" s="4349"/>
      <c r="AH133" s="4349"/>
      <c r="AI133" s="4349"/>
      <c r="AJ133" s="4349"/>
      <c r="AK133" s="4349"/>
      <c r="AL133" s="4349"/>
      <c r="AM133" s="4349"/>
      <c r="AN133" s="4349"/>
      <c r="AO133" s="4327"/>
      <c r="AP133" s="4327"/>
      <c r="AQ133" s="3611"/>
    </row>
    <row r="134" spans="1:43" ht="43.5" customHeight="1" x14ac:dyDescent="0.2">
      <c r="A134" s="2238"/>
      <c r="B134" s="1526"/>
      <c r="C134" s="2239"/>
      <c r="D134" s="1526"/>
      <c r="E134" s="2239"/>
      <c r="G134" s="2248"/>
      <c r="H134" s="2248"/>
      <c r="I134" s="2249"/>
      <c r="J134" s="4374"/>
      <c r="K134" s="4346"/>
      <c r="L134" s="4343"/>
      <c r="M134" s="4377"/>
      <c r="N134" s="2256" t="s">
        <v>2044</v>
      </c>
      <c r="O134" s="4343"/>
      <c r="P134" s="4263"/>
      <c r="Q134" s="4356"/>
      <c r="R134" s="4302"/>
      <c r="S134" s="4346"/>
      <c r="T134" s="4365"/>
      <c r="U134" s="4367" t="s">
        <v>2045</v>
      </c>
      <c r="V134" s="2255">
        <v>500000</v>
      </c>
      <c r="W134" s="2247">
        <v>61</v>
      </c>
      <c r="X134" s="2251" t="s">
        <v>2037</v>
      </c>
      <c r="Y134" s="4349"/>
      <c r="Z134" s="4349"/>
      <c r="AA134" s="4349"/>
      <c r="AB134" s="4349"/>
      <c r="AC134" s="4349"/>
      <c r="AD134" s="4349"/>
      <c r="AE134" s="4349"/>
      <c r="AF134" s="4349"/>
      <c r="AG134" s="4349"/>
      <c r="AH134" s="4349"/>
      <c r="AI134" s="4349"/>
      <c r="AJ134" s="4349"/>
      <c r="AK134" s="4349"/>
      <c r="AL134" s="4349"/>
      <c r="AM134" s="4349"/>
      <c r="AN134" s="4349"/>
      <c r="AO134" s="4327"/>
      <c r="AP134" s="4327"/>
      <c r="AQ134" s="3611"/>
    </row>
    <row r="135" spans="1:43" ht="42.75" customHeight="1" x14ac:dyDescent="0.2">
      <c r="A135" s="2238"/>
      <c r="B135" s="1526"/>
      <c r="C135" s="2239"/>
      <c r="D135" s="1526"/>
      <c r="E135" s="2239"/>
      <c r="G135" s="2248"/>
      <c r="H135" s="2248"/>
      <c r="I135" s="2249"/>
      <c r="J135" s="4374"/>
      <c r="K135" s="4346"/>
      <c r="L135" s="4343"/>
      <c r="M135" s="4377"/>
      <c r="N135" s="2256"/>
      <c r="O135" s="4343"/>
      <c r="P135" s="4263"/>
      <c r="Q135" s="4356"/>
      <c r="R135" s="4302"/>
      <c r="S135" s="4346"/>
      <c r="T135" s="4365"/>
      <c r="U135" s="4368"/>
      <c r="V135" s="2255">
        <v>1911543</v>
      </c>
      <c r="W135" s="2247">
        <v>113</v>
      </c>
      <c r="X135" s="2251" t="s">
        <v>2038</v>
      </c>
      <c r="Y135" s="4349"/>
      <c r="Z135" s="4349"/>
      <c r="AA135" s="4349"/>
      <c r="AB135" s="4349"/>
      <c r="AC135" s="4349"/>
      <c r="AD135" s="4349"/>
      <c r="AE135" s="4349"/>
      <c r="AF135" s="4349"/>
      <c r="AG135" s="4349"/>
      <c r="AH135" s="4349"/>
      <c r="AI135" s="4349"/>
      <c r="AJ135" s="4349"/>
      <c r="AK135" s="4349"/>
      <c r="AL135" s="4349"/>
      <c r="AM135" s="4349"/>
      <c r="AN135" s="4349"/>
      <c r="AO135" s="4327"/>
      <c r="AP135" s="4327"/>
      <c r="AQ135" s="3611"/>
    </row>
    <row r="136" spans="1:43" ht="48.75" customHeight="1" x14ac:dyDescent="0.2">
      <c r="A136" s="2238"/>
      <c r="B136" s="1526"/>
      <c r="C136" s="2239"/>
      <c r="D136" s="1526"/>
      <c r="E136" s="2239"/>
      <c r="G136" s="2248"/>
      <c r="H136" s="2248"/>
      <c r="I136" s="2249"/>
      <c r="J136" s="4374"/>
      <c r="K136" s="4346"/>
      <c r="L136" s="4343"/>
      <c r="M136" s="4377"/>
      <c r="N136" s="2256"/>
      <c r="O136" s="4343"/>
      <c r="P136" s="4263"/>
      <c r="Q136" s="4356"/>
      <c r="R136" s="4302"/>
      <c r="S136" s="4346"/>
      <c r="T136" s="4366"/>
      <c r="U136" s="4369"/>
      <c r="V136" s="2255">
        <v>193819</v>
      </c>
      <c r="W136" s="2247">
        <v>114</v>
      </c>
      <c r="X136" s="2251" t="s">
        <v>2039</v>
      </c>
      <c r="Y136" s="4349"/>
      <c r="Z136" s="4349"/>
      <c r="AA136" s="4349"/>
      <c r="AB136" s="4349"/>
      <c r="AC136" s="4349"/>
      <c r="AD136" s="4349"/>
      <c r="AE136" s="4349"/>
      <c r="AF136" s="4349"/>
      <c r="AG136" s="4349"/>
      <c r="AH136" s="4349"/>
      <c r="AI136" s="4349"/>
      <c r="AJ136" s="4349"/>
      <c r="AK136" s="4349"/>
      <c r="AL136" s="4349"/>
      <c r="AM136" s="4349"/>
      <c r="AN136" s="4349"/>
      <c r="AO136" s="4327"/>
      <c r="AP136" s="4327"/>
      <c r="AQ136" s="3611"/>
    </row>
    <row r="137" spans="1:43" ht="49.5" customHeight="1" x14ac:dyDescent="0.2">
      <c r="A137" s="2238"/>
      <c r="B137" s="1526"/>
      <c r="C137" s="2239"/>
      <c r="D137" s="1526"/>
      <c r="E137" s="2239"/>
      <c r="G137" s="2248"/>
      <c r="H137" s="2248"/>
      <c r="I137" s="2249"/>
      <c r="J137" s="4374"/>
      <c r="K137" s="4346"/>
      <c r="L137" s="4343"/>
      <c r="M137" s="4377"/>
      <c r="N137" s="2256" t="s">
        <v>2046</v>
      </c>
      <c r="O137" s="4343"/>
      <c r="P137" s="4263"/>
      <c r="Q137" s="4356"/>
      <c r="R137" s="4302"/>
      <c r="S137" s="4346"/>
      <c r="T137" s="4364" t="s">
        <v>2047</v>
      </c>
      <c r="U137" s="4367" t="s">
        <v>2048</v>
      </c>
      <c r="V137" s="2255">
        <v>1750000</v>
      </c>
      <c r="W137" s="2247">
        <v>61</v>
      </c>
      <c r="X137" s="2251" t="s">
        <v>2037</v>
      </c>
      <c r="Y137" s="4349"/>
      <c r="Z137" s="4349"/>
      <c r="AA137" s="4349"/>
      <c r="AB137" s="4349"/>
      <c r="AC137" s="4349"/>
      <c r="AD137" s="4349"/>
      <c r="AE137" s="4349"/>
      <c r="AF137" s="4349"/>
      <c r="AG137" s="4349"/>
      <c r="AH137" s="4349"/>
      <c r="AI137" s="4349"/>
      <c r="AJ137" s="4349"/>
      <c r="AK137" s="4349"/>
      <c r="AL137" s="4349"/>
      <c r="AM137" s="4349"/>
      <c r="AN137" s="4349"/>
      <c r="AO137" s="4327"/>
      <c r="AP137" s="4327"/>
      <c r="AQ137" s="3611"/>
    </row>
    <row r="138" spans="1:43" ht="46.5" customHeight="1" x14ac:dyDescent="0.2">
      <c r="A138" s="2238"/>
      <c r="B138" s="1526"/>
      <c r="C138" s="2239"/>
      <c r="D138" s="1526"/>
      <c r="E138" s="2239"/>
      <c r="G138" s="2248"/>
      <c r="H138" s="2248"/>
      <c r="I138" s="2249"/>
      <c r="J138" s="4374"/>
      <c r="K138" s="4346"/>
      <c r="L138" s="4343"/>
      <c r="M138" s="4377"/>
      <c r="N138" s="2256"/>
      <c r="O138" s="4343"/>
      <c r="P138" s="4263"/>
      <c r="Q138" s="4356"/>
      <c r="R138" s="4302"/>
      <c r="S138" s="4346"/>
      <c r="T138" s="4365"/>
      <c r="U138" s="4368"/>
      <c r="V138" s="2255">
        <v>3000000</v>
      </c>
      <c r="W138" s="2247">
        <v>113</v>
      </c>
      <c r="X138" s="2251" t="s">
        <v>2038</v>
      </c>
      <c r="Y138" s="4349"/>
      <c r="Z138" s="4349"/>
      <c r="AA138" s="4349"/>
      <c r="AB138" s="4349"/>
      <c r="AC138" s="4349"/>
      <c r="AD138" s="4349"/>
      <c r="AE138" s="4349"/>
      <c r="AF138" s="4349"/>
      <c r="AG138" s="4349"/>
      <c r="AH138" s="4349"/>
      <c r="AI138" s="4349"/>
      <c r="AJ138" s="4349"/>
      <c r="AK138" s="4349"/>
      <c r="AL138" s="4349"/>
      <c r="AM138" s="4349"/>
      <c r="AN138" s="4349"/>
      <c r="AO138" s="4327"/>
      <c r="AP138" s="4327"/>
      <c r="AQ138" s="3611"/>
    </row>
    <row r="139" spans="1:43" ht="46.5" customHeight="1" x14ac:dyDescent="0.2">
      <c r="A139" s="2238"/>
      <c r="B139" s="1526"/>
      <c r="C139" s="2239"/>
      <c r="D139" s="1526"/>
      <c r="E139" s="2239"/>
      <c r="G139" s="2248"/>
      <c r="H139" s="2248"/>
      <c r="I139" s="2249"/>
      <c r="J139" s="4374"/>
      <c r="K139" s="4346"/>
      <c r="L139" s="4343"/>
      <c r="M139" s="4377"/>
      <c r="N139" s="2256"/>
      <c r="O139" s="4343"/>
      <c r="P139" s="4263"/>
      <c r="Q139" s="4356"/>
      <c r="R139" s="4302"/>
      <c r="S139" s="4346"/>
      <c r="T139" s="4365"/>
      <c r="U139" s="4369"/>
      <c r="V139" s="2255">
        <v>250000</v>
      </c>
      <c r="W139" s="2247">
        <v>114</v>
      </c>
      <c r="X139" s="2251" t="s">
        <v>2039</v>
      </c>
      <c r="Y139" s="4349"/>
      <c r="Z139" s="4349"/>
      <c r="AA139" s="4349"/>
      <c r="AB139" s="4349"/>
      <c r="AC139" s="4349"/>
      <c r="AD139" s="4349"/>
      <c r="AE139" s="4349"/>
      <c r="AF139" s="4349"/>
      <c r="AG139" s="4349"/>
      <c r="AH139" s="4349"/>
      <c r="AI139" s="4349"/>
      <c r="AJ139" s="4349"/>
      <c r="AK139" s="4349"/>
      <c r="AL139" s="4349"/>
      <c r="AM139" s="4349"/>
      <c r="AN139" s="4349"/>
      <c r="AO139" s="4327"/>
      <c r="AP139" s="4327"/>
      <c r="AQ139" s="3611"/>
    </row>
    <row r="140" spans="1:43" ht="48.75" customHeight="1" x14ac:dyDescent="0.2">
      <c r="A140" s="2238"/>
      <c r="B140" s="1526"/>
      <c r="C140" s="2239"/>
      <c r="D140" s="1526"/>
      <c r="E140" s="2239"/>
      <c r="G140" s="2248"/>
      <c r="H140" s="2248"/>
      <c r="I140" s="2249"/>
      <c r="J140" s="4374"/>
      <c r="K140" s="4346"/>
      <c r="L140" s="4343"/>
      <c r="M140" s="4377"/>
      <c r="N140" s="2256"/>
      <c r="O140" s="4343"/>
      <c r="P140" s="4263"/>
      <c r="Q140" s="4356"/>
      <c r="R140" s="4302"/>
      <c r="S140" s="4346"/>
      <c r="T140" s="4365"/>
      <c r="U140" s="4367" t="s">
        <v>2049</v>
      </c>
      <c r="V140" s="2255">
        <v>10000000</v>
      </c>
      <c r="W140" s="2247">
        <v>61</v>
      </c>
      <c r="X140" s="2251" t="s">
        <v>2037</v>
      </c>
      <c r="Y140" s="4349"/>
      <c r="Z140" s="4349"/>
      <c r="AA140" s="4349"/>
      <c r="AB140" s="4349"/>
      <c r="AC140" s="4349"/>
      <c r="AD140" s="4349"/>
      <c r="AE140" s="4349"/>
      <c r="AF140" s="4349"/>
      <c r="AG140" s="4349"/>
      <c r="AH140" s="4349"/>
      <c r="AI140" s="4349"/>
      <c r="AJ140" s="4349"/>
      <c r="AK140" s="4349"/>
      <c r="AL140" s="4349"/>
      <c r="AM140" s="4349"/>
      <c r="AN140" s="4349"/>
      <c r="AO140" s="4327"/>
      <c r="AP140" s="4327"/>
      <c r="AQ140" s="3611"/>
    </row>
    <row r="141" spans="1:43" ht="30" x14ac:dyDescent="0.2">
      <c r="A141" s="2238"/>
      <c r="B141" s="1526"/>
      <c r="C141" s="2239"/>
      <c r="D141" s="1526"/>
      <c r="E141" s="2239"/>
      <c r="G141" s="2248"/>
      <c r="H141" s="2248"/>
      <c r="I141" s="2249"/>
      <c r="J141" s="4374"/>
      <c r="K141" s="4346"/>
      <c r="L141" s="4343"/>
      <c r="M141" s="4377"/>
      <c r="N141" s="2256"/>
      <c r="O141" s="4343"/>
      <c r="P141" s="4263"/>
      <c r="Q141" s="4356"/>
      <c r="R141" s="4302"/>
      <c r="S141" s="4346"/>
      <c r="T141" s="4365"/>
      <c r="U141" s="4368"/>
      <c r="V141" s="2255">
        <v>40000000</v>
      </c>
      <c r="W141" s="2247">
        <v>113</v>
      </c>
      <c r="X141" s="2251" t="s">
        <v>2038</v>
      </c>
      <c r="Y141" s="4349"/>
      <c r="Z141" s="4349"/>
      <c r="AA141" s="4349"/>
      <c r="AB141" s="4349"/>
      <c r="AC141" s="4349"/>
      <c r="AD141" s="4349"/>
      <c r="AE141" s="4349"/>
      <c r="AF141" s="4349"/>
      <c r="AG141" s="4349"/>
      <c r="AH141" s="4349"/>
      <c r="AI141" s="4349"/>
      <c r="AJ141" s="4349"/>
      <c r="AK141" s="4349"/>
      <c r="AL141" s="4349"/>
      <c r="AM141" s="4349"/>
      <c r="AN141" s="4349"/>
      <c r="AO141" s="4327"/>
      <c r="AP141" s="4327"/>
      <c r="AQ141" s="3611"/>
    </row>
    <row r="142" spans="1:43" ht="54.75" customHeight="1" x14ac:dyDescent="0.2">
      <c r="A142" s="2238"/>
      <c r="B142" s="1526"/>
      <c r="C142" s="2239"/>
      <c r="D142" s="1526"/>
      <c r="E142" s="2239"/>
      <c r="G142" s="2248"/>
      <c r="H142" s="2248"/>
      <c r="I142" s="2249"/>
      <c r="J142" s="4374"/>
      <c r="K142" s="4346"/>
      <c r="L142" s="4343"/>
      <c r="M142" s="4377"/>
      <c r="N142" s="2256"/>
      <c r="O142" s="4343"/>
      <c r="P142" s="4263"/>
      <c r="Q142" s="4356"/>
      <c r="R142" s="4302"/>
      <c r="S142" s="4346"/>
      <c r="T142" s="4366"/>
      <c r="U142" s="4369"/>
      <c r="V142" s="2255">
        <v>4000000</v>
      </c>
      <c r="W142" s="2247">
        <v>114</v>
      </c>
      <c r="X142" s="2251" t="s">
        <v>2039</v>
      </c>
      <c r="Y142" s="4349"/>
      <c r="Z142" s="4349"/>
      <c r="AA142" s="4349"/>
      <c r="AB142" s="4349"/>
      <c r="AC142" s="4349"/>
      <c r="AD142" s="4349"/>
      <c r="AE142" s="4349"/>
      <c r="AF142" s="4349"/>
      <c r="AG142" s="4349"/>
      <c r="AH142" s="4349"/>
      <c r="AI142" s="4349"/>
      <c r="AJ142" s="4349"/>
      <c r="AK142" s="4349"/>
      <c r="AL142" s="4349"/>
      <c r="AM142" s="4349"/>
      <c r="AN142" s="4349"/>
      <c r="AO142" s="4327"/>
      <c r="AP142" s="4327"/>
      <c r="AQ142" s="3611"/>
    </row>
    <row r="143" spans="1:43" ht="61.5" customHeight="1" x14ac:dyDescent="0.2">
      <c r="A143" s="2238"/>
      <c r="B143" s="1526"/>
      <c r="C143" s="2239"/>
      <c r="D143" s="1526"/>
      <c r="E143" s="2239"/>
      <c r="G143" s="2248"/>
      <c r="H143" s="2248"/>
      <c r="I143" s="2249"/>
      <c r="J143" s="4374"/>
      <c r="K143" s="4346"/>
      <c r="L143" s="4343"/>
      <c r="M143" s="4377"/>
      <c r="N143" s="2256"/>
      <c r="O143" s="4343"/>
      <c r="P143" s="4263"/>
      <c r="Q143" s="4356"/>
      <c r="R143" s="4302"/>
      <c r="S143" s="4346"/>
      <c r="T143" s="4370" t="s">
        <v>2050</v>
      </c>
      <c r="U143" s="2171" t="s">
        <v>2051</v>
      </c>
      <c r="V143" s="2255">
        <v>18000000</v>
      </c>
      <c r="W143" s="2247">
        <v>113</v>
      </c>
      <c r="X143" s="2251" t="s">
        <v>2043</v>
      </c>
      <c r="Y143" s="4349"/>
      <c r="Z143" s="4349"/>
      <c r="AA143" s="4349"/>
      <c r="AB143" s="4349"/>
      <c r="AC143" s="4349"/>
      <c r="AD143" s="4349"/>
      <c r="AE143" s="4349"/>
      <c r="AF143" s="4349"/>
      <c r="AG143" s="4349"/>
      <c r="AH143" s="4349"/>
      <c r="AI143" s="4349"/>
      <c r="AJ143" s="4349"/>
      <c r="AK143" s="4349"/>
      <c r="AL143" s="4349"/>
      <c r="AM143" s="4349"/>
      <c r="AN143" s="4349"/>
      <c r="AO143" s="4327"/>
      <c r="AP143" s="4327"/>
      <c r="AQ143" s="3611"/>
    </row>
    <row r="144" spans="1:43" ht="45" x14ac:dyDescent="0.2">
      <c r="A144" s="2238"/>
      <c r="B144" s="1526"/>
      <c r="C144" s="2239"/>
      <c r="D144" s="1526"/>
      <c r="E144" s="2239"/>
      <c r="G144" s="2248"/>
      <c r="H144" s="2248"/>
      <c r="I144" s="2249"/>
      <c r="J144" s="4374"/>
      <c r="K144" s="4346"/>
      <c r="L144" s="4343"/>
      <c r="M144" s="4377"/>
      <c r="N144" s="2256"/>
      <c r="O144" s="4343"/>
      <c r="P144" s="4263"/>
      <c r="Q144" s="4356"/>
      <c r="R144" s="4302"/>
      <c r="S144" s="4346"/>
      <c r="T144" s="4371"/>
      <c r="U144" s="4367" t="s">
        <v>2052</v>
      </c>
      <c r="V144" s="2255">
        <v>9000000</v>
      </c>
      <c r="W144" s="2247">
        <v>61</v>
      </c>
      <c r="X144" s="2257" t="s">
        <v>2053</v>
      </c>
      <c r="Y144" s="4349"/>
      <c r="Z144" s="4349"/>
      <c r="AA144" s="4349"/>
      <c r="AB144" s="4349"/>
      <c r="AC144" s="4349"/>
      <c r="AD144" s="4349"/>
      <c r="AE144" s="4349"/>
      <c r="AF144" s="4349"/>
      <c r="AG144" s="4349"/>
      <c r="AH144" s="4349"/>
      <c r="AI144" s="4349"/>
      <c r="AJ144" s="4349"/>
      <c r="AK144" s="4349"/>
      <c r="AL144" s="4349"/>
      <c r="AM144" s="4349"/>
      <c r="AN144" s="4349"/>
      <c r="AO144" s="4327"/>
      <c r="AP144" s="4327"/>
      <c r="AQ144" s="3611"/>
    </row>
    <row r="145" spans="1:43" ht="52.5" customHeight="1" x14ac:dyDescent="0.2">
      <c r="A145" s="2238"/>
      <c r="B145" s="1526"/>
      <c r="C145" s="2239"/>
      <c r="D145" s="1526"/>
      <c r="E145" s="2239"/>
      <c r="G145" s="2248"/>
      <c r="H145" s="2248"/>
      <c r="I145" s="2249"/>
      <c r="J145" s="4374"/>
      <c r="K145" s="4346"/>
      <c r="L145" s="4343"/>
      <c r="M145" s="4377"/>
      <c r="N145" s="2256"/>
      <c r="O145" s="4343"/>
      <c r="P145" s="4263"/>
      <c r="Q145" s="4356"/>
      <c r="R145" s="4302"/>
      <c r="S145" s="4346"/>
      <c r="T145" s="4371"/>
      <c r="U145" s="4368"/>
      <c r="V145" s="2255">
        <v>21000000</v>
      </c>
      <c r="W145" s="2247">
        <v>113</v>
      </c>
      <c r="X145" s="2251" t="s">
        <v>2038</v>
      </c>
      <c r="Y145" s="4349"/>
      <c r="Z145" s="4349"/>
      <c r="AA145" s="4349"/>
      <c r="AB145" s="4349"/>
      <c r="AC145" s="4349"/>
      <c r="AD145" s="4349"/>
      <c r="AE145" s="4349"/>
      <c r="AF145" s="4349"/>
      <c r="AG145" s="4349"/>
      <c r="AH145" s="4349"/>
      <c r="AI145" s="4349"/>
      <c r="AJ145" s="4349"/>
      <c r="AK145" s="4349"/>
      <c r="AL145" s="4349"/>
      <c r="AM145" s="4349"/>
      <c r="AN145" s="4349"/>
      <c r="AO145" s="4327"/>
      <c r="AP145" s="4327"/>
      <c r="AQ145" s="3611"/>
    </row>
    <row r="146" spans="1:43" ht="50.25" customHeight="1" x14ac:dyDescent="0.2">
      <c r="A146" s="2238"/>
      <c r="B146" s="1526"/>
      <c r="C146" s="2239"/>
      <c r="D146" s="1526"/>
      <c r="E146" s="2239"/>
      <c r="G146" s="2248"/>
      <c r="H146" s="2248"/>
      <c r="I146" s="2249"/>
      <c r="J146" s="4374"/>
      <c r="K146" s="4346"/>
      <c r="L146" s="4343"/>
      <c r="M146" s="4377"/>
      <c r="N146" s="2256"/>
      <c r="O146" s="4343"/>
      <c r="P146" s="4263"/>
      <c r="Q146" s="4356"/>
      <c r="R146" s="4302"/>
      <c r="S146" s="4346"/>
      <c r="T146" s="4371"/>
      <c r="U146" s="4369"/>
      <c r="V146" s="2255">
        <v>7500000</v>
      </c>
      <c r="W146" s="2247">
        <v>114</v>
      </c>
      <c r="X146" s="2251" t="s">
        <v>2039</v>
      </c>
      <c r="Y146" s="4349"/>
      <c r="Z146" s="4349"/>
      <c r="AA146" s="4349"/>
      <c r="AB146" s="4349"/>
      <c r="AC146" s="4349"/>
      <c r="AD146" s="4349"/>
      <c r="AE146" s="4349"/>
      <c r="AF146" s="4349"/>
      <c r="AG146" s="4349"/>
      <c r="AH146" s="4349"/>
      <c r="AI146" s="4349"/>
      <c r="AJ146" s="4349"/>
      <c r="AK146" s="4349"/>
      <c r="AL146" s="4349"/>
      <c r="AM146" s="4349"/>
      <c r="AN146" s="4349"/>
      <c r="AO146" s="4327"/>
      <c r="AP146" s="4327"/>
      <c r="AQ146" s="3611"/>
    </row>
    <row r="147" spans="1:43" ht="39.75" customHeight="1" x14ac:dyDescent="0.2">
      <c r="A147" s="2238"/>
      <c r="B147" s="1526"/>
      <c r="C147" s="2239"/>
      <c r="D147" s="1526"/>
      <c r="E147" s="2239"/>
      <c r="G147" s="2248"/>
      <c r="H147" s="2248"/>
      <c r="I147" s="2249"/>
      <c r="J147" s="4374"/>
      <c r="K147" s="4346"/>
      <c r="L147" s="4343"/>
      <c r="M147" s="4377"/>
      <c r="N147" s="2256"/>
      <c r="O147" s="4343"/>
      <c r="P147" s="4263"/>
      <c r="Q147" s="4356"/>
      <c r="R147" s="4302"/>
      <c r="S147" s="4346"/>
      <c r="T147" s="4371"/>
      <c r="U147" s="4367" t="s">
        <v>2054</v>
      </c>
      <c r="V147" s="2258">
        <v>9000000</v>
      </c>
      <c r="W147" s="2247">
        <v>61</v>
      </c>
      <c r="X147" s="2257" t="s">
        <v>2053</v>
      </c>
      <c r="Y147" s="4349"/>
      <c r="Z147" s="4349"/>
      <c r="AA147" s="4349"/>
      <c r="AB147" s="4349"/>
      <c r="AC147" s="4349"/>
      <c r="AD147" s="4349"/>
      <c r="AE147" s="4349"/>
      <c r="AF147" s="4349"/>
      <c r="AG147" s="4349"/>
      <c r="AH147" s="4349"/>
      <c r="AI147" s="4349"/>
      <c r="AJ147" s="4349"/>
      <c r="AK147" s="4349"/>
      <c r="AL147" s="4349"/>
      <c r="AM147" s="4349"/>
      <c r="AN147" s="4349"/>
      <c r="AO147" s="4327"/>
      <c r="AP147" s="4327"/>
      <c r="AQ147" s="3611"/>
    </row>
    <row r="148" spans="1:43" ht="46.5" customHeight="1" x14ac:dyDescent="0.2">
      <c r="A148" s="2238"/>
      <c r="B148" s="1526"/>
      <c r="C148" s="2239"/>
      <c r="D148" s="1526"/>
      <c r="E148" s="2239"/>
      <c r="G148" s="2248"/>
      <c r="H148" s="2248"/>
      <c r="I148" s="2249"/>
      <c r="J148" s="4374"/>
      <c r="K148" s="4346"/>
      <c r="L148" s="4343"/>
      <c r="M148" s="4377"/>
      <c r="N148" s="2256"/>
      <c r="O148" s="4343"/>
      <c r="P148" s="4263"/>
      <c r="Q148" s="4356"/>
      <c r="R148" s="4302"/>
      <c r="S148" s="4346"/>
      <c r="T148" s="4371"/>
      <c r="U148" s="4368"/>
      <c r="V148" s="2258">
        <v>21000000</v>
      </c>
      <c r="W148" s="2247">
        <v>113</v>
      </c>
      <c r="X148" s="2251" t="s">
        <v>2038</v>
      </c>
      <c r="Y148" s="4349"/>
      <c r="Z148" s="4349"/>
      <c r="AA148" s="4349"/>
      <c r="AB148" s="4349"/>
      <c r="AC148" s="4349"/>
      <c r="AD148" s="4349"/>
      <c r="AE148" s="4349"/>
      <c r="AF148" s="4349"/>
      <c r="AG148" s="4349"/>
      <c r="AH148" s="4349"/>
      <c r="AI148" s="4349"/>
      <c r="AJ148" s="4349"/>
      <c r="AK148" s="4349"/>
      <c r="AL148" s="4349"/>
      <c r="AM148" s="4349"/>
      <c r="AN148" s="4349"/>
      <c r="AO148" s="4327"/>
      <c r="AP148" s="4327"/>
      <c r="AQ148" s="3611"/>
    </row>
    <row r="149" spans="1:43" ht="56.25" customHeight="1" x14ac:dyDescent="0.2">
      <c r="A149" s="2238"/>
      <c r="B149" s="1526"/>
      <c r="C149" s="2239"/>
      <c r="D149" s="1526"/>
      <c r="E149" s="2239"/>
      <c r="G149" s="2248"/>
      <c r="H149" s="2248"/>
      <c r="I149" s="2249"/>
      <c r="J149" s="4375"/>
      <c r="K149" s="4347"/>
      <c r="L149" s="4344"/>
      <c r="M149" s="4378"/>
      <c r="N149" s="2256"/>
      <c r="O149" s="4344"/>
      <c r="P149" s="4264"/>
      <c r="Q149" s="4357"/>
      <c r="R149" s="4303"/>
      <c r="S149" s="4347"/>
      <c r="T149" s="4372"/>
      <c r="U149" s="4369"/>
      <c r="V149" s="2258">
        <v>7500000</v>
      </c>
      <c r="W149" s="2247">
        <v>114</v>
      </c>
      <c r="X149" s="2251" t="s">
        <v>2039</v>
      </c>
      <c r="Y149" s="4350"/>
      <c r="Z149" s="4350"/>
      <c r="AA149" s="4350"/>
      <c r="AB149" s="4350"/>
      <c r="AC149" s="4350"/>
      <c r="AD149" s="4350"/>
      <c r="AE149" s="4350"/>
      <c r="AF149" s="4350"/>
      <c r="AG149" s="4350"/>
      <c r="AH149" s="4350"/>
      <c r="AI149" s="4350"/>
      <c r="AJ149" s="4350"/>
      <c r="AK149" s="4350"/>
      <c r="AL149" s="4350"/>
      <c r="AM149" s="4350"/>
      <c r="AN149" s="4350"/>
      <c r="AO149" s="4363"/>
      <c r="AP149" s="4363"/>
      <c r="AQ149" s="3612"/>
    </row>
    <row r="150" spans="1:43" ht="15" customHeight="1" x14ac:dyDescent="0.2">
      <c r="A150" s="2238"/>
      <c r="B150" s="1526"/>
      <c r="C150" s="2239"/>
      <c r="D150" s="1526"/>
      <c r="E150" s="2239"/>
      <c r="G150" s="2194">
        <v>41</v>
      </c>
      <c r="H150" s="2160" t="s">
        <v>2055</v>
      </c>
      <c r="I150" s="2160"/>
      <c r="J150" s="2160"/>
      <c r="K150" s="2195"/>
      <c r="L150" s="2160"/>
      <c r="M150" s="2196"/>
      <c r="N150" s="2160"/>
      <c r="O150" s="2160"/>
      <c r="P150" s="2160"/>
      <c r="Q150" s="2160"/>
      <c r="R150" s="2160"/>
      <c r="S150" s="2160"/>
      <c r="T150" s="2195"/>
      <c r="U150" s="2160"/>
      <c r="V150" s="2160"/>
      <c r="W150" s="2160"/>
      <c r="X150" s="2200"/>
      <c r="Y150" s="2160"/>
      <c r="Z150" s="2160"/>
      <c r="AA150" s="2160"/>
      <c r="AB150" s="2160"/>
      <c r="AC150" s="2160"/>
      <c r="AD150" s="2160"/>
      <c r="AE150" s="2160"/>
      <c r="AF150" s="2160"/>
      <c r="AG150" s="2160"/>
      <c r="AH150" s="2160"/>
      <c r="AI150" s="2160"/>
      <c r="AJ150" s="2160"/>
      <c r="AK150" s="2160"/>
      <c r="AL150" s="2160"/>
      <c r="AM150" s="2160"/>
      <c r="AN150" s="2160"/>
      <c r="AO150" s="2160"/>
      <c r="AP150" s="2160"/>
      <c r="AQ150" s="2219"/>
    </row>
    <row r="151" spans="1:43" ht="30" x14ac:dyDescent="0.2">
      <c r="A151" s="2238"/>
      <c r="B151" s="1526"/>
      <c r="C151" s="2239"/>
      <c r="D151" s="1526"/>
      <c r="E151" s="2239"/>
      <c r="F151" s="1526"/>
      <c r="G151" s="2169"/>
      <c r="H151" s="2169"/>
      <c r="I151" s="2170"/>
      <c r="J151" s="4259">
        <v>147</v>
      </c>
      <c r="K151" s="4262" t="s">
        <v>2056</v>
      </c>
      <c r="L151" s="4265" t="s">
        <v>1861</v>
      </c>
      <c r="M151" s="4322">
        <v>14</v>
      </c>
      <c r="N151" s="4265" t="s">
        <v>2057</v>
      </c>
      <c r="O151" s="4265" t="s">
        <v>2058</v>
      </c>
      <c r="P151" s="4262" t="s">
        <v>2059</v>
      </c>
      <c r="Q151" s="4355">
        <f>+(V151+V152+V153)/R151</f>
        <v>0.5</v>
      </c>
      <c r="R151" s="4301">
        <v>20000000</v>
      </c>
      <c r="S151" s="4262" t="s">
        <v>2060</v>
      </c>
      <c r="T151" s="4262" t="s">
        <v>2061</v>
      </c>
      <c r="U151" s="2171" t="s">
        <v>2062</v>
      </c>
      <c r="V151" s="2259">
        <v>6000000</v>
      </c>
      <c r="W151" s="2173">
        <v>61</v>
      </c>
      <c r="X151" s="2203" t="s">
        <v>1868</v>
      </c>
      <c r="Y151" s="4270">
        <v>292684</v>
      </c>
      <c r="Z151" s="4270">
        <v>282326</v>
      </c>
      <c r="AA151" s="4270">
        <v>135912</v>
      </c>
      <c r="AB151" s="4270">
        <v>45122</v>
      </c>
      <c r="AC151" s="4270">
        <v>307101</v>
      </c>
      <c r="AD151" s="4270">
        <v>86875</v>
      </c>
      <c r="AE151" s="4270">
        <v>2145</v>
      </c>
      <c r="AF151" s="4270">
        <v>12718</v>
      </c>
      <c r="AG151" s="4270">
        <v>26</v>
      </c>
      <c r="AH151" s="4270">
        <v>37</v>
      </c>
      <c r="AI151" s="4270" t="s">
        <v>1869</v>
      </c>
      <c r="AJ151" s="4270" t="s">
        <v>1869</v>
      </c>
      <c r="AK151" s="4270">
        <v>53164</v>
      </c>
      <c r="AL151" s="4270">
        <v>16982</v>
      </c>
      <c r="AM151" s="4270">
        <v>60013</v>
      </c>
      <c r="AN151" s="4270">
        <v>575010</v>
      </c>
      <c r="AO151" s="4326">
        <v>43466</v>
      </c>
      <c r="AP151" s="4326">
        <v>43830</v>
      </c>
      <c r="AQ151" s="3610" t="s">
        <v>1870</v>
      </c>
    </row>
    <row r="152" spans="1:43" ht="45" x14ac:dyDescent="0.2">
      <c r="A152" s="2238"/>
      <c r="B152" s="1526"/>
      <c r="C152" s="2239"/>
      <c r="D152" s="1526"/>
      <c r="E152" s="2239"/>
      <c r="F152" s="1526"/>
      <c r="G152" s="2165"/>
      <c r="H152" s="2165"/>
      <c r="I152" s="2166"/>
      <c r="J152" s="4260"/>
      <c r="K152" s="4263"/>
      <c r="L152" s="4266"/>
      <c r="M152" s="4322"/>
      <c r="N152" s="4266"/>
      <c r="O152" s="4266"/>
      <c r="P152" s="4263"/>
      <c r="Q152" s="4356"/>
      <c r="R152" s="4302"/>
      <c r="S152" s="4263"/>
      <c r="T152" s="4263"/>
      <c r="U152" s="2171" t="s">
        <v>2063</v>
      </c>
      <c r="V152" s="2259">
        <v>2000000</v>
      </c>
      <c r="W152" s="2173">
        <v>61</v>
      </c>
      <c r="X152" s="2203" t="s">
        <v>1868</v>
      </c>
      <c r="Y152" s="4271"/>
      <c r="Z152" s="4271"/>
      <c r="AA152" s="4271"/>
      <c r="AB152" s="4271"/>
      <c r="AC152" s="4271">
        <v>307101</v>
      </c>
      <c r="AD152" s="4271">
        <v>86875</v>
      </c>
      <c r="AE152" s="4271"/>
      <c r="AF152" s="4271"/>
      <c r="AG152" s="4271"/>
      <c r="AH152" s="4271"/>
      <c r="AI152" s="4271"/>
      <c r="AJ152" s="4271"/>
      <c r="AK152" s="4271"/>
      <c r="AL152" s="4271"/>
      <c r="AM152" s="4271"/>
      <c r="AN152" s="4271"/>
      <c r="AO152" s="4327"/>
      <c r="AP152" s="4327"/>
      <c r="AQ152" s="3276"/>
    </row>
    <row r="153" spans="1:43" ht="30" x14ac:dyDescent="0.2">
      <c r="A153" s="2238"/>
      <c r="B153" s="1526"/>
      <c r="C153" s="2239"/>
      <c r="D153" s="1526"/>
      <c r="E153" s="2239"/>
      <c r="F153" s="1526"/>
      <c r="G153" s="2165"/>
      <c r="H153" s="2165"/>
      <c r="I153" s="2166"/>
      <c r="J153" s="4261"/>
      <c r="K153" s="4264"/>
      <c r="L153" s="4267"/>
      <c r="M153" s="4322"/>
      <c r="N153" s="4266"/>
      <c r="O153" s="4266"/>
      <c r="P153" s="4263"/>
      <c r="Q153" s="4356"/>
      <c r="R153" s="4302"/>
      <c r="S153" s="4263"/>
      <c r="T153" s="4264"/>
      <c r="U153" s="2171" t="s">
        <v>2064</v>
      </c>
      <c r="V153" s="2259">
        <v>2000000</v>
      </c>
      <c r="W153" s="2173">
        <v>61</v>
      </c>
      <c r="X153" s="2203" t="s">
        <v>1868</v>
      </c>
      <c r="Y153" s="4271"/>
      <c r="Z153" s="4271"/>
      <c r="AA153" s="4271"/>
      <c r="AB153" s="4271"/>
      <c r="AC153" s="4271">
        <v>307101</v>
      </c>
      <c r="AD153" s="4271">
        <v>86875</v>
      </c>
      <c r="AE153" s="4271"/>
      <c r="AF153" s="4271"/>
      <c r="AG153" s="4271"/>
      <c r="AH153" s="4271"/>
      <c r="AI153" s="4271"/>
      <c r="AJ153" s="4271"/>
      <c r="AK153" s="4271"/>
      <c r="AL153" s="4271"/>
      <c r="AM153" s="4271"/>
      <c r="AN153" s="4271"/>
      <c r="AO153" s="4327"/>
      <c r="AP153" s="4327"/>
      <c r="AQ153" s="3276"/>
    </row>
    <row r="154" spans="1:43" ht="45" x14ac:dyDescent="0.2">
      <c r="A154" s="2238"/>
      <c r="B154" s="1526"/>
      <c r="C154" s="2239"/>
      <c r="D154" s="1526"/>
      <c r="E154" s="2239"/>
      <c r="F154" s="1526"/>
      <c r="G154" s="2165"/>
      <c r="H154" s="2165"/>
      <c r="I154" s="2166"/>
      <c r="J154" s="4259">
        <v>148</v>
      </c>
      <c r="K154" s="4262" t="s">
        <v>2065</v>
      </c>
      <c r="L154" s="4265" t="s">
        <v>1861</v>
      </c>
      <c r="M154" s="4295">
        <v>11</v>
      </c>
      <c r="N154" s="4266"/>
      <c r="O154" s="4266"/>
      <c r="P154" s="4263"/>
      <c r="Q154" s="4355">
        <v>0.5</v>
      </c>
      <c r="R154" s="4302"/>
      <c r="S154" s="4263"/>
      <c r="T154" s="4262" t="s">
        <v>2066</v>
      </c>
      <c r="U154" s="2171" t="s">
        <v>2067</v>
      </c>
      <c r="V154" s="2259">
        <v>7000000</v>
      </c>
      <c r="W154" s="2173">
        <v>61</v>
      </c>
      <c r="X154" s="2203" t="s">
        <v>1868</v>
      </c>
      <c r="Y154" s="4271"/>
      <c r="Z154" s="4271"/>
      <c r="AA154" s="4271"/>
      <c r="AB154" s="4271"/>
      <c r="AC154" s="4271">
        <v>307101</v>
      </c>
      <c r="AD154" s="4271">
        <v>86875</v>
      </c>
      <c r="AE154" s="4271"/>
      <c r="AF154" s="4271"/>
      <c r="AG154" s="4271"/>
      <c r="AH154" s="4271"/>
      <c r="AI154" s="4271"/>
      <c r="AJ154" s="4271"/>
      <c r="AK154" s="4271"/>
      <c r="AL154" s="4271"/>
      <c r="AM154" s="4271"/>
      <c r="AN154" s="4271"/>
      <c r="AO154" s="4327"/>
      <c r="AP154" s="4327"/>
      <c r="AQ154" s="3276"/>
    </row>
    <row r="155" spans="1:43" ht="30" x14ac:dyDescent="0.2">
      <c r="A155" s="2238"/>
      <c r="B155" s="1526"/>
      <c r="C155" s="2239"/>
      <c r="D155" s="1526"/>
      <c r="E155" s="2239"/>
      <c r="F155" s="1526"/>
      <c r="G155" s="2165"/>
      <c r="H155" s="2165"/>
      <c r="I155" s="2166"/>
      <c r="J155" s="4260"/>
      <c r="K155" s="4263"/>
      <c r="L155" s="4266"/>
      <c r="M155" s="4296"/>
      <c r="N155" s="4266"/>
      <c r="O155" s="4266"/>
      <c r="P155" s="4263"/>
      <c r="Q155" s="4356"/>
      <c r="R155" s="4302"/>
      <c r="S155" s="4263"/>
      <c r="T155" s="4263"/>
      <c r="U155" s="2171" t="s">
        <v>2068</v>
      </c>
      <c r="V155" s="2259">
        <v>1000000</v>
      </c>
      <c r="W155" s="2173">
        <v>61</v>
      </c>
      <c r="X155" s="2203" t="s">
        <v>1868</v>
      </c>
      <c r="Y155" s="4271"/>
      <c r="Z155" s="4271"/>
      <c r="AA155" s="4271"/>
      <c r="AB155" s="4271"/>
      <c r="AC155" s="4271">
        <v>307101</v>
      </c>
      <c r="AD155" s="4271">
        <v>86875</v>
      </c>
      <c r="AE155" s="4271"/>
      <c r="AF155" s="4271"/>
      <c r="AG155" s="4271"/>
      <c r="AH155" s="4271"/>
      <c r="AI155" s="4271"/>
      <c r="AJ155" s="4271"/>
      <c r="AK155" s="4271"/>
      <c r="AL155" s="4271"/>
      <c r="AM155" s="4271"/>
      <c r="AN155" s="4271"/>
      <c r="AO155" s="4327"/>
      <c r="AP155" s="4327"/>
      <c r="AQ155" s="3276"/>
    </row>
    <row r="156" spans="1:43" ht="30" x14ac:dyDescent="0.2">
      <c r="A156" s="2238"/>
      <c r="B156" s="1526"/>
      <c r="C156" s="2239"/>
      <c r="D156" s="1526"/>
      <c r="E156" s="2239"/>
      <c r="F156" s="1526"/>
      <c r="G156" s="2165"/>
      <c r="H156" s="2165"/>
      <c r="I156" s="2166"/>
      <c r="J156" s="4260"/>
      <c r="K156" s="4263"/>
      <c r="L156" s="4266"/>
      <c r="M156" s="4296"/>
      <c r="N156" s="4266"/>
      <c r="O156" s="4266"/>
      <c r="P156" s="4263"/>
      <c r="Q156" s="4356"/>
      <c r="R156" s="4302"/>
      <c r="S156" s="4263"/>
      <c r="T156" s="4263"/>
      <c r="U156" s="2171" t="s">
        <v>2069</v>
      </c>
      <c r="V156" s="2259">
        <v>1000000</v>
      </c>
      <c r="W156" s="2173">
        <v>61</v>
      </c>
      <c r="X156" s="2203" t="s">
        <v>1868</v>
      </c>
      <c r="Y156" s="4271"/>
      <c r="Z156" s="4271"/>
      <c r="AA156" s="4271"/>
      <c r="AB156" s="4271"/>
      <c r="AC156" s="4271">
        <v>307101</v>
      </c>
      <c r="AD156" s="4271">
        <v>86875</v>
      </c>
      <c r="AE156" s="4271"/>
      <c r="AF156" s="4271"/>
      <c r="AG156" s="4271"/>
      <c r="AH156" s="4271"/>
      <c r="AI156" s="4271"/>
      <c r="AJ156" s="4271"/>
      <c r="AK156" s="4271"/>
      <c r="AL156" s="4271"/>
      <c r="AM156" s="4271"/>
      <c r="AN156" s="4271"/>
      <c r="AO156" s="4327"/>
      <c r="AP156" s="4327"/>
      <c r="AQ156" s="3276"/>
    </row>
    <row r="157" spans="1:43" ht="45" x14ac:dyDescent="0.2">
      <c r="A157" s="2238"/>
      <c r="B157" s="1526"/>
      <c r="C157" s="2239"/>
      <c r="D157" s="1526"/>
      <c r="E157" s="2239"/>
      <c r="F157" s="1526"/>
      <c r="G157" s="2175"/>
      <c r="H157" s="2175"/>
      <c r="I157" s="2176"/>
      <c r="J157" s="4261"/>
      <c r="K157" s="4264"/>
      <c r="L157" s="4267"/>
      <c r="M157" s="4297"/>
      <c r="N157" s="4267"/>
      <c r="O157" s="4267"/>
      <c r="P157" s="4264"/>
      <c r="Q157" s="4357"/>
      <c r="R157" s="4302"/>
      <c r="S157" s="4264"/>
      <c r="T157" s="4264"/>
      <c r="U157" s="2171" t="s">
        <v>2070</v>
      </c>
      <c r="V157" s="2259">
        <v>1000000</v>
      </c>
      <c r="W157" s="2173">
        <v>61</v>
      </c>
      <c r="X157" s="2203" t="s">
        <v>1868</v>
      </c>
      <c r="Y157" s="4272"/>
      <c r="Z157" s="4272"/>
      <c r="AA157" s="4272"/>
      <c r="AB157" s="4272"/>
      <c r="AC157" s="4272">
        <v>307101</v>
      </c>
      <c r="AD157" s="4272">
        <v>86875</v>
      </c>
      <c r="AE157" s="4272"/>
      <c r="AF157" s="4272"/>
      <c r="AG157" s="4272"/>
      <c r="AH157" s="4272"/>
      <c r="AI157" s="4272"/>
      <c r="AJ157" s="4272"/>
      <c r="AK157" s="4272"/>
      <c r="AL157" s="4272"/>
      <c r="AM157" s="4272"/>
      <c r="AN157" s="4272"/>
      <c r="AO157" s="4327"/>
      <c r="AP157" s="4327"/>
      <c r="AQ157" s="3277"/>
    </row>
    <row r="158" spans="1:43" ht="15" customHeight="1" x14ac:dyDescent="0.2">
      <c r="A158" s="2238"/>
      <c r="B158" s="1526"/>
      <c r="C158" s="2239"/>
      <c r="D158" s="1526"/>
      <c r="E158" s="2239"/>
      <c r="G158" s="2194">
        <v>42</v>
      </c>
      <c r="H158" s="2160" t="s">
        <v>2071</v>
      </c>
      <c r="I158" s="2160"/>
      <c r="J158" s="2160"/>
      <c r="K158" s="2195"/>
      <c r="L158" s="2160"/>
      <c r="M158" s="2196"/>
      <c r="N158" s="2160"/>
      <c r="O158" s="2160"/>
      <c r="P158" s="2160"/>
      <c r="Q158" s="2160"/>
      <c r="R158" s="2160"/>
      <c r="S158" s="2160"/>
      <c r="T158" s="2195"/>
      <c r="U158" s="2160"/>
      <c r="V158" s="2160"/>
      <c r="W158" s="2160"/>
      <c r="X158" s="2200"/>
      <c r="Y158" s="2160"/>
      <c r="Z158" s="2160"/>
      <c r="AA158" s="2160"/>
      <c r="AB158" s="2160"/>
      <c r="AC158" s="2160"/>
      <c r="AD158" s="2160"/>
      <c r="AE158" s="2160"/>
      <c r="AF158" s="2160"/>
      <c r="AG158" s="2160"/>
      <c r="AH158" s="2160"/>
      <c r="AI158" s="2160"/>
      <c r="AJ158" s="2160"/>
      <c r="AK158" s="2160"/>
      <c r="AL158" s="2160"/>
      <c r="AM158" s="2160"/>
      <c r="AN158" s="2160"/>
      <c r="AO158" s="2160"/>
      <c r="AP158" s="2160"/>
      <c r="AQ158" s="2219"/>
    </row>
    <row r="159" spans="1:43" ht="30" x14ac:dyDescent="0.2">
      <c r="A159" s="2238"/>
      <c r="B159" s="1526"/>
      <c r="C159" s="2239"/>
      <c r="D159" s="1526"/>
      <c r="E159" s="2239"/>
      <c r="F159" s="1526"/>
      <c r="G159" s="2169"/>
      <c r="H159" s="2169"/>
      <c r="I159" s="2170"/>
      <c r="J159" s="4259">
        <v>149</v>
      </c>
      <c r="K159" s="4262" t="s">
        <v>2072</v>
      </c>
      <c r="L159" s="4265" t="s">
        <v>1861</v>
      </c>
      <c r="M159" s="4379">
        <v>8</v>
      </c>
      <c r="N159" s="4265" t="s">
        <v>2073</v>
      </c>
      <c r="O159" s="4265" t="s">
        <v>2074</v>
      </c>
      <c r="P159" s="4262" t="s">
        <v>2075</v>
      </c>
      <c r="Q159" s="4355">
        <f>+(V159+V160+V161+V162+V163+V164)/R159</f>
        <v>0.63157894736842102</v>
      </c>
      <c r="R159" s="4301">
        <v>76000000</v>
      </c>
      <c r="S159" s="4262" t="s">
        <v>2076</v>
      </c>
      <c r="T159" s="4262" t="s">
        <v>2077</v>
      </c>
      <c r="U159" s="2171" t="s">
        <v>2078</v>
      </c>
      <c r="V159" s="2259">
        <v>8000000</v>
      </c>
      <c r="W159" s="2173">
        <v>61</v>
      </c>
      <c r="X159" s="2203" t="s">
        <v>1868</v>
      </c>
      <c r="Y159" s="4270">
        <v>292684</v>
      </c>
      <c r="Z159" s="4270">
        <v>282326</v>
      </c>
      <c r="AA159" s="4270">
        <v>135912</v>
      </c>
      <c r="AB159" s="4270">
        <v>45122</v>
      </c>
      <c r="AC159" s="4270">
        <v>307101</v>
      </c>
      <c r="AD159" s="4270">
        <v>86875</v>
      </c>
      <c r="AE159" s="4270">
        <v>2145</v>
      </c>
      <c r="AF159" s="4270">
        <v>12718</v>
      </c>
      <c r="AG159" s="4270">
        <v>26</v>
      </c>
      <c r="AH159" s="4270">
        <v>37</v>
      </c>
      <c r="AI159" s="4270" t="s">
        <v>1869</v>
      </c>
      <c r="AJ159" s="4270" t="s">
        <v>1869</v>
      </c>
      <c r="AK159" s="4270">
        <v>53164</v>
      </c>
      <c r="AL159" s="4270">
        <v>16982</v>
      </c>
      <c r="AM159" s="4270">
        <v>60013</v>
      </c>
      <c r="AN159" s="4270">
        <v>575010</v>
      </c>
      <c r="AO159" s="4326">
        <v>43466</v>
      </c>
      <c r="AP159" s="4326">
        <v>43830</v>
      </c>
      <c r="AQ159" s="3610" t="s">
        <v>1870</v>
      </c>
    </row>
    <row r="160" spans="1:43" ht="45" x14ac:dyDescent="0.2">
      <c r="A160" s="2238"/>
      <c r="B160" s="1526"/>
      <c r="C160" s="2239"/>
      <c r="D160" s="1526"/>
      <c r="E160" s="2239"/>
      <c r="F160" s="1526"/>
      <c r="G160" s="2165"/>
      <c r="H160" s="2165"/>
      <c r="I160" s="2166"/>
      <c r="J160" s="4260"/>
      <c r="K160" s="4263"/>
      <c r="L160" s="4266"/>
      <c r="M160" s="4380"/>
      <c r="N160" s="4266"/>
      <c r="O160" s="4266"/>
      <c r="P160" s="4263"/>
      <c r="Q160" s="4356"/>
      <c r="R160" s="4302"/>
      <c r="S160" s="4263"/>
      <c r="T160" s="4263"/>
      <c r="U160" s="2171" t="s">
        <v>2079</v>
      </c>
      <c r="V160" s="2259">
        <v>8000000</v>
      </c>
      <c r="W160" s="2173">
        <v>61</v>
      </c>
      <c r="X160" s="2203" t="s">
        <v>1868</v>
      </c>
      <c r="Y160" s="4271"/>
      <c r="Z160" s="4271"/>
      <c r="AA160" s="4271"/>
      <c r="AB160" s="4271"/>
      <c r="AC160" s="4271">
        <v>307101</v>
      </c>
      <c r="AD160" s="4271">
        <v>86875</v>
      </c>
      <c r="AE160" s="4271"/>
      <c r="AF160" s="4271"/>
      <c r="AG160" s="4271"/>
      <c r="AH160" s="4271"/>
      <c r="AI160" s="4271"/>
      <c r="AJ160" s="4271"/>
      <c r="AK160" s="4271"/>
      <c r="AL160" s="4271"/>
      <c r="AM160" s="4271"/>
      <c r="AN160" s="4271"/>
      <c r="AO160" s="4327"/>
      <c r="AP160" s="4327"/>
      <c r="AQ160" s="3276"/>
    </row>
    <row r="161" spans="1:43" ht="45" x14ac:dyDescent="0.2">
      <c r="A161" s="2238"/>
      <c r="B161" s="1526"/>
      <c r="C161" s="2239"/>
      <c r="D161" s="1526"/>
      <c r="E161" s="2239"/>
      <c r="F161" s="1526"/>
      <c r="G161" s="2165"/>
      <c r="H161" s="2165"/>
      <c r="I161" s="2166"/>
      <c r="J161" s="4260"/>
      <c r="K161" s="4263"/>
      <c r="L161" s="4266"/>
      <c r="M161" s="4380"/>
      <c r="N161" s="4266"/>
      <c r="O161" s="4266"/>
      <c r="P161" s="4263"/>
      <c r="Q161" s="4356"/>
      <c r="R161" s="4302"/>
      <c r="S161" s="4263"/>
      <c r="T161" s="4263"/>
      <c r="U161" s="2171" t="s">
        <v>2080</v>
      </c>
      <c r="V161" s="2259">
        <v>8000000</v>
      </c>
      <c r="W161" s="2173">
        <v>61</v>
      </c>
      <c r="X161" s="2203" t="s">
        <v>1868</v>
      </c>
      <c r="Y161" s="4271"/>
      <c r="Z161" s="4271"/>
      <c r="AA161" s="4271"/>
      <c r="AB161" s="4271"/>
      <c r="AC161" s="4271">
        <v>307101</v>
      </c>
      <c r="AD161" s="4271">
        <v>86875</v>
      </c>
      <c r="AE161" s="4271"/>
      <c r="AF161" s="4271"/>
      <c r="AG161" s="4271"/>
      <c r="AH161" s="4271"/>
      <c r="AI161" s="4271"/>
      <c r="AJ161" s="4271"/>
      <c r="AK161" s="4271"/>
      <c r="AL161" s="4271"/>
      <c r="AM161" s="4271"/>
      <c r="AN161" s="4271"/>
      <c r="AO161" s="4327"/>
      <c r="AP161" s="4327"/>
      <c r="AQ161" s="3276"/>
    </row>
    <row r="162" spans="1:43" ht="45" x14ac:dyDescent="0.2">
      <c r="A162" s="2238"/>
      <c r="B162" s="1526"/>
      <c r="C162" s="2239"/>
      <c r="D162" s="1526"/>
      <c r="E162" s="2239"/>
      <c r="F162" s="1526"/>
      <c r="G162" s="2165"/>
      <c r="H162" s="2165"/>
      <c r="I162" s="2166"/>
      <c r="J162" s="4260"/>
      <c r="K162" s="4263"/>
      <c r="L162" s="4266"/>
      <c r="M162" s="4380"/>
      <c r="N162" s="4266"/>
      <c r="O162" s="4266"/>
      <c r="P162" s="4263"/>
      <c r="Q162" s="4356"/>
      <c r="R162" s="4302"/>
      <c r="S162" s="4263"/>
      <c r="T162" s="4263"/>
      <c r="U162" s="2171" t="s">
        <v>2081</v>
      </c>
      <c r="V162" s="2259">
        <v>8000000</v>
      </c>
      <c r="W162" s="2173">
        <v>61</v>
      </c>
      <c r="X162" s="2203" t="s">
        <v>1868</v>
      </c>
      <c r="Y162" s="4271"/>
      <c r="Z162" s="4271"/>
      <c r="AA162" s="4271"/>
      <c r="AB162" s="4271"/>
      <c r="AC162" s="4271">
        <v>307101</v>
      </c>
      <c r="AD162" s="4271">
        <v>86875</v>
      </c>
      <c r="AE162" s="4271"/>
      <c r="AF162" s="4271"/>
      <c r="AG162" s="4271"/>
      <c r="AH162" s="4271"/>
      <c r="AI162" s="4271"/>
      <c r="AJ162" s="4271"/>
      <c r="AK162" s="4271"/>
      <c r="AL162" s="4271"/>
      <c r="AM162" s="4271"/>
      <c r="AN162" s="4271"/>
      <c r="AO162" s="4327"/>
      <c r="AP162" s="4327"/>
      <c r="AQ162" s="3276"/>
    </row>
    <row r="163" spans="1:43" ht="45" x14ac:dyDescent="0.2">
      <c r="A163" s="2238"/>
      <c r="B163" s="1526"/>
      <c r="C163" s="2239"/>
      <c r="D163" s="1526"/>
      <c r="E163" s="2239"/>
      <c r="F163" s="1526"/>
      <c r="G163" s="2165"/>
      <c r="H163" s="2165"/>
      <c r="I163" s="2166"/>
      <c r="J163" s="4260"/>
      <c r="K163" s="4263"/>
      <c r="L163" s="4266"/>
      <c r="M163" s="4380"/>
      <c r="N163" s="4266"/>
      <c r="O163" s="4266"/>
      <c r="P163" s="4263"/>
      <c r="Q163" s="4356"/>
      <c r="R163" s="4302"/>
      <c r="S163" s="4263"/>
      <c r="T163" s="4263"/>
      <c r="U163" s="2171" t="s">
        <v>2082</v>
      </c>
      <c r="V163" s="2259">
        <v>8000000</v>
      </c>
      <c r="W163" s="2173">
        <v>61</v>
      </c>
      <c r="X163" s="2203" t="s">
        <v>1868</v>
      </c>
      <c r="Y163" s="4271"/>
      <c r="Z163" s="4271"/>
      <c r="AA163" s="4271"/>
      <c r="AB163" s="4271"/>
      <c r="AC163" s="4271">
        <v>307101</v>
      </c>
      <c r="AD163" s="4271">
        <v>86875</v>
      </c>
      <c r="AE163" s="4271"/>
      <c r="AF163" s="4271"/>
      <c r="AG163" s="4271"/>
      <c r="AH163" s="4271"/>
      <c r="AI163" s="4271"/>
      <c r="AJ163" s="4271"/>
      <c r="AK163" s="4271"/>
      <c r="AL163" s="4271"/>
      <c r="AM163" s="4271"/>
      <c r="AN163" s="4271"/>
      <c r="AO163" s="4327"/>
      <c r="AP163" s="4327"/>
      <c r="AQ163" s="3276"/>
    </row>
    <row r="164" spans="1:43" ht="30" x14ac:dyDescent="0.2">
      <c r="A164" s="2238"/>
      <c r="B164" s="1526"/>
      <c r="C164" s="2239"/>
      <c r="D164" s="1526"/>
      <c r="E164" s="2239"/>
      <c r="F164" s="1526"/>
      <c r="G164" s="2165"/>
      <c r="H164" s="2165"/>
      <c r="I164" s="2166"/>
      <c r="J164" s="4261"/>
      <c r="K164" s="4264"/>
      <c r="L164" s="4267"/>
      <c r="M164" s="4381"/>
      <c r="N164" s="4266"/>
      <c r="O164" s="4266"/>
      <c r="P164" s="4263"/>
      <c r="Q164" s="4357"/>
      <c r="R164" s="4302"/>
      <c r="S164" s="4263"/>
      <c r="T164" s="4264"/>
      <c r="U164" s="2171" t="s">
        <v>2083</v>
      </c>
      <c r="V164" s="2259">
        <v>8000000</v>
      </c>
      <c r="W164" s="2173">
        <v>61</v>
      </c>
      <c r="X164" s="2203" t="s">
        <v>1868</v>
      </c>
      <c r="Y164" s="4271"/>
      <c r="Z164" s="4271"/>
      <c r="AA164" s="4271"/>
      <c r="AB164" s="4271"/>
      <c r="AC164" s="4271">
        <v>307101</v>
      </c>
      <c r="AD164" s="4271">
        <v>86875</v>
      </c>
      <c r="AE164" s="4271"/>
      <c r="AF164" s="4271"/>
      <c r="AG164" s="4271"/>
      <c r="AH164" s="4271"/>
      <c r="AI164" s="4271"/>
      <c r="AJ164" s="4271"/>
      <c r="AK164" s="4271"/>
      <c r="AL164" s="4271"/>
      <c r="AM164" s="4271"/>
      <c r="AN164" s="4271"/>
      <c r="AO164" s="4327"/>
      <c r="AP164" s="4327"/>
      <c r="AQ164" s="3276"/>
    </row>
    <row r="165" spans="1:43" ht="45" x14ac:dyDescent="0.2">
      <c r="A165" s="2238"/>
      <c r="B165" s="1526"/>
      <c r="C165" s="2239"/>
      <c r="D165" s="1526"/>
      <c r="E165" s="2239"/>
      <c r="F165" s="1526"/>
      <c r="G165" s="2165"/>
      <c r="H165" s="2165"/>
      <c r="I165" s="2166"/>
      <c r="J165" s="4259">
        <v>150</v>
      </c>
      <c r="K165" s="4262" t="s">
        <v>2084</v>
      </c>
      <c r="L165" s="4265" t="s">
        <v>1861</v>
      </c>
      <c r="M165" s="4380">
        <v>14</v>
      </c>
      <c r="N165" s="4266"/>
      <c r="O165" s="4266"/>
      <c r="P165" s="4263"/>
      <c r="Q165" s="4355">
        <f>+(V165+V166+V167+V168+V169)/R159</f>
        <v>0.36842105263157893</v>
      </c>
      <c r="R165" s="4302"/>
      <c r="S165" s="4263"/>
      <c r="T165" s="4262" t="s">
        <v>2085</v>
      </c>
      <c r="U165" s="2171" t="s">
        <v>2086</v>
      </c>
      <c r="V165" s="2259">
        <v>5000000</v>
      </c>
      <c r="W165" s="2173">
        <v>61</v>
      </c>
      <c r="X165" s="2203" t="s">
        <v>1868</v>
      </c>
      <c r="Y165" s="4271"/>
      <c r="Z165" s="4271"/>
      <c r="AA165" s="4271"/>
      <c r="AB165" s="4271"/>
      <c r="AC165" s="4271">
        <v>307101</v>
      </c>
      <c r="AD165" s="4271">
        <v>86875</v>
      </c>
      <c r="AE165" s="4271"/>
      <c r="AF165" s="4271"/>
      <c r="AG165" s="4271"/>
      <c r="AH165" s="4271"/>
      <c r="AI165" s="4271"/>
      <c r="AJ165" s="4271"/>
      <c r="AK165" s="4271"/>
      <c r="AL165" s="4271"/>
      <c r="AM165" s="4271"/>
      <c r="AN165" s="4271"/>
      <c r="AO165" s="4327"/>
      <c r="AP165" s="4327"/>
      <c r="AQ165" s="3276"/>
    </row>
    <row r="166" spans="1:43" ht="45" x14ac:dyDescent="0.2">
      <c r="A166" s="2238"/>
      <c r="B166" s="1526"/>
      <c r="C166" s="2239"/>
      <c r="D166" s="1526"/>
      <c r="E166" s="2239"/>
      <c r="F166" s="1526"/>
      <c r="G166" s="2165"/>
      <c r="H166" s="2165"/>
      <c r="I166" s="2166"/>
      <c r="J166" s="4260"/>
      <c r="K166" s="4263"/>
      <c r="L166" s="4266"/>
      <c r="M166" s="4380"/>
      <c r="N166" s="4266"/>
      <c r="O166" s="4266"/>
      <c r="P166" s="4263"/>
      <c r="Q166" s="4356"/>
      <c r="R166" s="4302"/>
      <c r="S166" s="4263"/>
      <c r="T166" s="4263"/>
      <c r="U166" s="2171" t="s">
        <v>2087</v>
      </c>
      <c r="V166" s="2259">
        <v>5000000</v>
      </c>
      <c r="W166" s="2173">
        <v>61</v>
      </c>
      <c r="X166" s="2203" t="s">
        <v>1868</v>
      </c>
      <c r="Y166" s="4271"/>
      <c r="Z166" s="4271"/>
      <c r="AA166" s="4271"/>
      <c r="AB166" s="4271"/>
      <c r="AC166" s="4271">
        <v>307101</v>
      </c>
      <c r="AD166" s="4271">
        <v>86875</v>
      </c>
      <c r="AE166" s="4271"/>
      <c r="AF166" s="4271"/>
      <c r="AG166" s="4271"/>
      <c r="AH166" s="4271"/>
      <c r="AI166" s="4271"/>
      <c r="AJ166" s="4271"/>
      <c r="AK166" s="4271"/>
      <c r="AL166" s="4271"/>
      <c r="AM166" s="4271"/>
      <c r="AN166" s="4271"/>
      <c r="AO166" s="4327"/>
      <c r="AP166" s="4327"/>
      <c r="AQ166" s="3276"/>
    </row>
    <row r="167" spans="1:43" ht="60" x14ac:dyDescent="0.2">
      <c r="A167" s="2238"/>
      <c r="B167" s="1526"/>
      <c r="C167" s="2239"/>
      <c r="D167" s="1526"/>
      <c r="E167" s="2239"/>
      <c r="F167" s="1526"/>
      <c r="G167" s="2165"/>
      <c r="H167" s="2165"/>
      <c r="I167" s="2166"/>
      <c r="J167" s="4260"/>
      <c r="K167" s="4263"/>
      <c r="L167" s="4266"/>
      <c r="M167" s="4380"/>
      <c r="N167" s="4266"/>
      <c r="O167" s="4266"/>
      <c r="P167" s="4263"/>
      <c r="Q167" s="4356"/>
      <c r="R167" s="4302"/>
      <c r="S167" s="4263"/>
      <c r="T167" s="4263"/>
      <c r="U167" s="2171" t="s">
        <v>2088</v>
      </c>
      <c r="V167" s="2259">
        <v>5000000</v>
      </c>
      <c r="W167" s="2173">
        <v>61</v>
      </c>
      <c r="X167" s="2203" t="s">
        <v>1868</v>
      </c>
      <c r="Y167" s="4271"/>
      <c r="Z167" s="4271"/>
      <c r="AA167" s="4271"/>
      <c r="AB167" s="4271"/>
      <c r="AC167" s="4271">
        <v>307101</v>
      </c>
      <c r="AD167" s="4271">
        <v>86875</v>
      </c>
      <c r="AE167" s="4271"/>
      <c r="AF167" s="4271"/>
      <c r="AG167" s="4271"/>
      <c r="AH167" s="4271"/>
      <c r="AI167" s="4271"/>
      <c r="AJ167" s="4271"/>
      <c r="AK167" s="4271"/>
      <c r="AL167" s="4271"/>
      <c r="AM167" s="4271"/>
      <c r="AN167" s="4271"/>
      <c r="AO167" s="4327"/>
      <c r="AP167" s="4327"/>
      <c r="AQ167" s="3276"/>
    </row>
    <row r="168" spans="1:43" ht="52.5" customHeight="1" x14ac:dyDescent="0.2">
      <c r="A168" s="2238"/>
      <c r="B168" s="1526"/>
      <c r="C168" s="2239"/>
      <c r="D168" s="1526"/>
      <c r="E168" s="2239"/>
      <c r="F168" s="1526"/>
      <c r="G168" s="2165"/>
      <c r="H168" s="2165"/>
      <c r="I168" s="2166"/>
      <c r="J168" s="4260"/>
      <c r="K168" s="4263"/>
      <c r="L168" s="4266"/>
      <c r="M168" s="4380"/>
      <c r="N168" s="4266"/>
      <c r="O168" s="4266"/>
      <c r="P168" s="4263"/>
      <c r="Q168" s="4356"/>
      <c r="R168" s="4302"/>
      <c r="S168" s="4263"/>
      <c r="T168" s="4263"/>
      <c r="U168" s="2171" t="s">
        <v>2089</v>
      </c>
      <c r="V168" s="2259">
        <v>5000000</v>
      </c>
      <c r="W168" s="2173">
        <v>61</v>
      </c>
      <c r="X168" s="2203" t="s">
        <v>1868</v>
      </c>
      <c r="Y168" s="4271"/>
      <c r="Z168" s="4271"/>
      <c r="AA168" s="4271"/>
      <c r="AB168" s="4271"/>
      <c r="AC168" s="4271">
        <v>307101</v>
      </c>
      <c r="AD168" s="4271">
        <v>86875</v>
      </c>
      <c r="AE168" s="4271"/>
      <c r="AF168" s="4271"/>
      <c r="AG168" s="4271"/>
      <c r="AH168" s="4271"/>
      <c r="AI168" s="4271"/>
      <c r="AJ168" s="4271"/>
      <c r="AK168" s="4271"/>
      <c r="AL168" s="4271"/>
      <c r="AM168" s="4271"/>
      <c r="AN168" s="4271"/>
      <c r="AO168" s="4327"/>
      <c r="AP168" s="4327"/>
      <c r="AQ168" s="3276"/>
    </row>
    <row r="169" spans="1:43" ht="30" x14ac:dyDescent="0.2">
      <c r="A169" s="2238"/>
      <c r="B169" s="1526"/>
      <c r="C169" s="2239"/>
      <c r="D169" s="1526"/>
      <c r="E169" s="2239"/>
      <c r="F169" s="1526"/>
      <c r="G169" s="2175"/>
      <c r="H169" s="2175"/>
      <c r="I169" s="2176"/>
      <c r="J169" s="4261"/>
      <c r="K169" s="4264"/>
      <c r="L169" s="4267"/>
      <c r="M169" s="4381"/>
      <c r="N169" s="4267"/>
      <c r="O169" s="4267"/>
      <c r="P169" s="4264"/>
      <c r="Q169" s="4356"/>
      <c r="R169" s="4303"/>
      <c r="S169" s="4264"/>
      <c r="T169" s="4264"/>
      <c r="U169" s="2171" t="s">
        <v>2090</v>
      </c>
      <c r="V169" s="2259">
        <v>8000000</v>
      </c>
      <c r="W169" s="2173">
        <v>61</v>
      </c>
      <c r="X169" s="2203" t="s">
        <v>1868</v>
      </c>
      <c r="Y169" s="4272"/>
      <c r="Z169" s="4272"/>
      <c r="AA169" s="4272"/>
      <c r="AB169" s="4272"/>
      <c r="AC169" s="4272">
        <v>307101</v>
      </c>
      <c r="AD169" s="4272">
        <v>86875</v>
      </c>
      <c r="AE169" s="4272"/>
      <c r="AF169" s="4272"/>
      <c r="AG169" s="4272"/>
      <c r="AH169" s="4272"/>
      <c r="AI169" s="4272"/>
      <c r="AJ169" s="4272"/>
      <c r="AK169" s="4272"/>
      <c r="AL169" s="4272"/>
      <c r="AM169" s="4272"/>
      <c r="AN169" s="4272"/>
      <c r="AO169" s="4363"/>
      <c r="AP169" s="4363"/>
      <c r="AQ169" s="3277"/>
    </row>
    <row r="170" spans="1:43" ht="15" customHeight="1" x14ac:dyDescent="0.2">
      <c r="A170" s="2238"/>
      <c r="B170" s="1526"/>
      <c r="C170" s="2239"/>
      <c r="D170" s="1526"/>
      <c r="E170" s="2239"/>
      <c r="G170" s="2194">
        <v>43</v>
      </c>
      <c r="H170" s="2160" t="s">
        <v>2091</v>
      </c>
      <c r="I170" s="2160"/>
      <c r="J170" s="2160"/>
      <c r="K170" s="2195"/>
      <c r="L170" s="2160"/>
      <c r="M170" s="2196"/>
      <c r="N170" s="2160"/>
      <c r="O170" s="2160"/>
      <c r="P170" s="2160"/>
      <c r="Q170" s="2160"/>
      <c r="R170" s="2160"/>
      <c r="S170" s="2160"/>
      <c r="T170" s="2195"/>
      <c r="U170" s="2160"/>
      <c r="V170" s="2160"/>
      <c r="W170" s="2160"/>
      <c r="X170" s="2200"/>
      <c r="Y170" s="2160"/>
      <c r="Z170" s="2160"/>
      <c r="AA170" s="2160"/>
      <c r="AB170" s="2160"/>
      <c r="AC170" s="2160"/>
      <c r="AD170" s="2160"/>
      <c r="AE170" s="2160"/>
      <c r="AF170" s="2160"/>
      <c r="AG170" s="2160"/>
      <c r="AH170" s="2160"/>
      <c r="AI170" s="2160"/>
      <c r="AJ170" s="2160"/>
      <c r="AK170" s="2160"/>
      <c r="AL170" s="2160"/>
      <c r="AM170" s="2160"/>
      <c r="AN170" s="2160"/>
      <c r="AO170" s="2160"/>
      <c r="AP170" s="2160"/>
      <c r="AQ170" s="2219"/>
    </row>
    <row r="171" spans="1:43" ht="45" x14ac:dyDescent="0.2">
      <c r="A171" s="2238"/>
      <c r="B171" s="1526"/>
      <c r="C171" s="2239"/>
      <c r="D171" s="1526"/>
      <c r="E171" s="2239"/>
      <c r="F171" s="1526"/>
      <c r="G171" s="2210"/>
      <c r="H171" s="2210"/>
      <c r="I171" s="2211"/>
      <c r="J171" s="4259">
        <v>151</v>
      </c>
      <c r="K171" s="4382" t="s">
        <v>2092</v>
      </c>
      <c r="L171" s="4385" t="s">
        <v>1861</v>
      </c>
      <c r="M171" s="4295">
        <v>12</v>
      </c>
      <c r="N171" s="4265" t="s">
        <v>2093</v>
      </c>
      <c r="O171" s="4265" t="s">
        <v>2094</v>
      </c>
      <c r="P171" s="4262" t="s">
        <v>2095</v>
      </c>
      <c r="Q171" s="4386">
        <f>+(V171+V172+V173+V174)/R171</f>
        <v>8.6171475688819082E-2</v>
      </c>
      <c r="R171" s="4301">
        <v>974800528</v>
      </c>
      <c r="S171" s="4262" t="s">
        <v>2096</v>
      </c>
      <c r="T171" s="4262" t="s">
        <v>2097</v>
      </c>
      <c r="U171" s="2171" t="s">
        <v>2098</v>
      </c>
      <c r="V171" s="2259">
        <v>15000000</v>
      </c>
      <c r="W171" s="2173">
        <v>61</v>
      </c>
      <c r="X171" s="2203" t="s">
        <v>1868</v>
      </c>
      <c r="Y171" s="4273">
        <v>292684</v>
      </c>
      <c r="Z171" s="4273">
        <v>282326</v>
      </c>
      <c r="AA171" s="4273">
        <v>135912</v>
      </c>
      <c r="AB171" s="4273">
        <v>45122</v>
      </c>
      <c r="AC171" s="4273">
        <v>307101</v>
      </c>
      <c r="AD171" s="4273">
        <v>86875</v>
      </c>
      <c r="AE171" s="4273">
        <v>2145</v>
      </c>
      <c r="AF171" s="4273">
        <v>12718</v>
      </c>
      <c r="AG171" s="4273">
        <v>26</v>
      </c>
      <c r="AH171" s="4273">
        <v>37</v>
      </c>
      <c r="AI171" s="4273" t="s">
        <v>1869</v>
      </c>
      <c r="AJ171" s="4273" t="s">
        <v>1869</v>
      </c>
      <c r="AK171" s="4273">
        <v>53164</v>
      </c>
      <c r="AL171" s="4273">
        <v>16982</v>
      </c>
      <c r="AM171" s="4273">
        <v>60013</v>
      </c>
      <c r="AN171" s="4273">
        <v>575010</v>
      </c>
      <c r="AO171" s="4392">
        <v>43466</v>
      </c>
      <c r="AP171" s="4392">
        <v>43830</v>
      </c>
      <c r="AQ171" s="3610" t="s">
        <v>1870</v>
      </c>
    </row>
    <row r="172" spans="1:43" ht="53.25" customHeight="1" x14ac:dyDescent="0.2">
      <c r="A172" s="2238"/>
      <c r="B172" s="1526"/>
      <c r="C172" s="2239"/>
      <c r="D172" s="1526"/>
      <c r="E172" s="2239"/>
      <c r="F172" s="1526"/>
      <c r="G172" s="2214"/>
      <c r="H172" s="2214"/>
      <c r="I172" s="2215"/>
      <c r="J172" s="4260"/>
      <c r="K172" s="4383"/>
      <c r="L172" s="4385"/>
      <c r="M172" s="4296"/>
      <c r="N172" s="4266"/>
      <c r="O172" s="4266"/>
      <c r="P172" s="4263"/>
      <c r="Q172" s="4387"/>
      <c r="R172" s="4302"/>
      <c r="S172" s="4263"/>
      <c r="T172" s="4263"/>
      <c r="U172" s="4367" t="s">
        <v>2099</v>
      </c>
      <c r="V172" s="2259">
        <v>36000000</v>
      </c>
      <c r="W172" s="2173">
        <v>20</v>
      </c>
      <c r="X172" s="2246" t="s">
        <v>62</v>
      </c>
      <c r="Y172" s="4274"/>
      <c r="Z172" s="4274"/>
      <c r="AA172" s="4274"/>
      <c r="AB172" s="4274"/>
      <c r="AC172" s="4274">
        <v>307101</v>
      </c>
      <c r="AD172" s="4274">
        <v>86875</v>
      </c>
      <c r="AE172" s="4274"/>
      <c r="AF172" s="4274"/>
      <c r="AG172" s="4274"/>
      <c r="AH172" s="4274"/>
      <c r="AI172" s="4274"/>
      <c r="AJ172" s="4274"/>
      <c r="AK172" s="4274"/>
      <c r="AL172" s="4274"/>
      <c r="AM172" s="4274"/>
      <c r="AN172" s="4274"/>
      <c r="AO172" s="4393"/>
      <c r="AP172" s="4393"/>
      <c r="AQ172" s="3276"/>
    </row>
    <row r="173" spans="1:43" ht="63.75" customHeight="1" x14ac:dyDescent="0.2">
      <c r="A173" s="2238"/>
      <c r="B173" s="1526"/>
      <c r="C173" s="2239"/>
      <c r="D173" s="1526"/>
      <c r="E173" s="2239"/>
      <c r="F173" s="1526"/>
      <c r="G173" s="2214"/>
      <c r="H173" s="2214"/>
      <c r="I173" s="2215"/>
      <c r="J173" s="4260"/>
      <c r="K173" s="4383"/>
      <c r="L173" s="4385"/>
      <c r="M173" s="4296"/>
      <c r="N173" s="4266"/>
      <c r="O173" s="4266"/>
      <c r="P173" s="4263"/>
      <c r="Q173" s="4387"/>
      <c r="R173" s="4302"/>
      <c r="S173" s="4263"/>
      <c r="T173" s="4263"/>
      <c r="U173" s="4369"/>
      <c r="V173" s="2259">
        <v>9000000</v>
      </c>
      <c r="W173" s="2173">
        <v>61</v>
      </c>
      <c r="X173" s="2203" t="s">
        <v>1868</v>
      </c>
      <c r="Y173" s="4274"/>
      <c r="Z173" s="4274"/>
      <c r="AA173" s="4274"/>
      <c r="AB173" s="4274"/>
      <c r="AC173" s="4274">
        <v>307101</v>
      </c>
      <c r="AD173" s="4274">
        <v>86875</v>
      </c>
      <c r="AE173" s="4274"/>
      <c r="AF173" s="4274"/>
      <c r="AG173" s="4274"/>
      <c r="AH173" s="4274"/>
      <c r="AI173" s="4274"/>
      <c r="AJ173" s="4274"/>
      <c r="AK173" s="4274"/>
      <c r="AL173" s="4274"/>
      <c r="AM173" s="4274"/>
      <c r="AN173" s="4274"/>
      <c r="AO173" s="4393"/>
      <c r="AP173" s="4393"/>
      <c r="AQ173" s="3276"/>
    </row>
    <row r="174" spans="1:43" ht="60" x14ac:dyDescent="0.2">
      <c r="A174" s="2238"/>
      <c r="B174" s="1526"/>
      <c r="C174" s="2239"/>
      <c r="D174" s="1526"/>
      <c r="E174" s="2239"/>
      <c r="F174" s="1526"/>
      <c r="G174" s="2214"/>
      <c r="H174" s="2214"/>
      <c r="I174" s="2215"/>
      <c r="J174" s="4261"/>
      <c r="K174" s="4384"/>
      <c r="L174" s="4385"/>
      <c r="M174" s="4297"/>
      <c r="N174" s="4266"/>
      <c r="O174" s="4266"/>
      <c r="P174" s="4263"/>
      <c r="Q174" s="4388"/>
      <c r="R174" s="4302"/>
      <c r="S174" s="4263"/>
      <c r="T174" s="4264"/>
      <c r="U174" s="2171" t="s">
        <v>2100</v>
      </c>
      <c r="V174" s="2259">
        <v>24000000</v>
      </c>
      <c r="W174" s="2173">
        <v>61</v>
      </c>
      <c r="X174" s="2203" t="s">
        <v>1868</v>
      </c>
      <c r="Y174" s="4274"/>
      <c r="Z174" s="4274"/>
      <c r="AA174" s="4274"/>
      <c r="AB174" s="4274"/>
      <c r="AC174" s="4274">
        <v>307101</v>
      </c>
      <c r="AD174" s="4274">
        <v>86875</v>
      </c>
      <c r="AE174" s="4274"/>
      <c r="AF174" s="4274"/>
      <c r="AG174" s="4274"/>
      <c r="AH174" s="4274"/>
      <c r="AI174" s="4274"/>
      <c r="AJ174" s="4274"/>
      <c r="AK174" s="4274"/>
      <c r="AL174" s="4274"/>
      <c r="AM174" s="4274"/>
      <c r="AN174" s="4274"/>
      <c r="AO174" s="4393"/>
      <c r="AP174" s="4393"/>
      <c r="AQ174" s="3276"/>
    </row>
    <row r="175" spans="1:43" ht="86.25" customHeight="1" x14ac:dyDescent="0.2">
      <c r="A175" s="2238"/>
      <c r="B175" s="1526"/>
      <c r="C175" s="2239"/>
      <c r="D175" s="1526"/>
      <c r="E175" s="2239"/>
      <c r="F175" s="1526"/>
      <c r="G175" s="2214"/>
      <c r="H175" s="2214"/>
      <c r="I175" s="2215"/>
      <c r="J175" s="2201">
        <v>152</v>
      </c>
      <c r="K175" s="2260" t="s">
        <v>2101</v>
      </c>
      <c r="L175" s="2213" t="s">
        <v>1861</v>
      </c>
      <c r="M175" s="2261">
        <v>1</v>
      </c>
      <c r="N175" s="4266"/>
      <c r="O175" s="4266"/>
      <c r="P175" s="4263"/>
      <c r="Q175" s="2262">
        <f>+(V175/R171)</f>
        <v>4.9240843250753757E-2</v>
      </c>
      <c r="R175" s="4302"/>
      <c r="S175" s="4263"/>
      <c r="T175" s="4262" t="s">
        <v>2102</v>
      </c>
      <c r="U175" s="2171" t="s">
        <v>2103</v>
      </c>
      <c r="V175" s="2259">
        <v>48000000</v>
      </c>
      <c r="W175" s="2173">
        <v>61</v>
      </c>
      <c r="X175" s="2203" t="s">
        <v>1868</v>
      </c>
      <c r="Y175" s="4274"/>
      <c r="Z175" s="4274"/>
      <c r="AA175" s="4274"/>
      <c r="AB175" s="4274"/>
      <c r="AC175" s="4274">
        <v>307101</v>
      </c>
      <c r="AD175" s="4274">
        <v>86875</v>
      </c>
      <c r="AE175" s="4274"/>
      <c r="AF175" s="4274"/>
      <c r="AG175" s="4274"/>
      <c r="AH175" s="4274"/>
      <c r="AI175" s="4274"/>
      <c r="AJ175" s="4274"/>
      <c r="AK175" s="4274"/>
      <c r="AL175" s="4274"/>
      <c r="AM175" s="4274"/>
      <c r="AN175" s="4274"/>
      <c r="AO175" s="4393"/>
      <c r="AP175" s="4393"/>
      <c r="AQ175" s="3276"/>
    </row>
    <row r="176" spans="1:43" ht="45" x14ac:dyDescent="0.2">
      <c r="A176" s="2238"/>
      <c r="B176" s="1526"/>
      <c r="C176" s="2239"/>
      <c r="D176" s="1526"/>
      <c r="E176" s="2239"/>
      <c r="F176" s="1526"/>
      <c r="G176" s="2214"/>
      <c r="H176" s="2214"/>
      <c r="I176" s="2215"/>
      <c r="J176" s="4291">
        <v>153</v>
      </c>
      <c r="K176" s="4382" t="s">
        <v>2104</v>
      </c>
      <c r="L176" s="4266" t="s">
        <v>1861</v>
      </c>
      <c r="M176" s="4295">
        <v>150</v>
      </c>
      <c r="N176" s="4266"/>
      <c r="O176" s="4266"/>
      <c r="P176" s="4263"/>
      <c r="Q176" s="4389">
        <f>+(V176+V177+V178+V179+V180+V181+V182+V183)/R171</f>
        <v>0.86458768106042716</v>
      </c>
      <c r="R176" s="4302"/>
      <c r="S176" s="4263"/>
      <c r="T176" s="4263"/>
      <c r="U176" s="2171" t="s">
        <v>2105</v>
      </c>
      <c r="V176" s="2259">
        <v>24000000</v>
      </c>
      <c r="W176" s="2173">
        <v>63</v>
      </c>
      <c r="X176" s="2203" t="s">
        <v>2106</v>
      </c>
      <c r="Y176" s="4274"/>
      <c r="Z176" s="4274"/>
      <c r="AA176" s="4274"/>
      <c r="AB176" s="4274"/>
      <c r="AC176" s="4274">
        <v>307101</v>
      </c>
      <c r="AD176" s="4274">
        <v>86875</v>
      </c>
      <c r="AE176" s="4274"/>
      <c r="AF176" s="4274"/>
      <c r="AG176" s="4274"/>
      <c r="AH176" s="4274"/>
      <c r="AI176" s="4274"/>
      <c r="AJ176" s="4274"/>
      <c r="AK176" s="4274"/>
      <c r="AL176" s="4274"/>
      <c r="AM176" s="4274"/>
      <c r="AN176" s="4274"/>
      <c r="AO176" s="4393"/>
      <c r="AP176" s="4393"/>
      <c r="AQ176" s="3276"/>
    </row>
    <row r="177" spans="1:43" ht="30" x14ac:dyDescent="0.2">
      <c r="A177" s="2238"/>
      <c r="B177" s="1526"/>
      <c r="C177" s="2239"/>
      <c r="D177" s="1526"/>
      <c r="E177" s="2239"/>
      <c r="F177" s="1526"/>
      <c r="G177" s="2214"/>
      <c r="H177" s="2214"/>
      <c r="I177" s="2215"/>
      <c r="J177" s="4291"/>
      <c r="K177" s="4383"/>
      <c r="L177" s="4266"/>
      <c r="M177" s="4296"/>
      <c r="N177" s="4266"/>
      <c r="O177" s="4266"/>
      <c r="P177" s="4263"/>
      <c r="Q177" s="4390"/>
      <c r="R177" s="4302"/>
      <c r="S177" s="4263"/>
      <c r="T177" s="4263"/>
      <c r="U177" s="2171" t="s">
        <v>2107</v>
      </c>
      <c r="V177" s="2259">
        <v>718800528</v>
      </c>
      <c r="W177" s="2173">
        <v>63</v>
      </c>
      <c r="X177" s="2203" t="s">
        <v>2106</v>
      </c>
      <c r="Y177" s="4274"/>
      <c r="Z177" s="4274"/>
      <c r="AA177" s="4274"/>
      <c r="AB177" s="4274"/>
      <c r="AC177" s="4274">
        <v>307101</v>
      </c>
      <c r="AD177" s="4274">
        <v>86875</v>
      </c>
      <c r="AE177" s="4274"/>
      <c r="AF177" s="4274"/>
      <c r="AG177" s="4274"/>
      <c r="AH177" s="4274"/>
      <c r="AI177" s="4274"/>
      <c r="AJ177" s="4274"/>
      <c r="AK177" s="4274"/>
      <c r="AL177" s="4274"/>
      <c r="AM177" s="4274"/>
      <c r="AN177" s="4274"/>
      <c r="AO177" s="4393"/>
      <c r="AP177" s="4393"/>
      <c r="AQ177" s="3276"/>
    </row>
    <row r="178" spans="1:43" ht="30" x14ac:dyDescent="0.2">
      <c r="A178" s="2238"/>
      <c r="B178" s="1526"/>
      <c r="C178" s="2239"/>
      <c r="D178" s="1526"/>
      <c r="E178" s="2239"/>
      <c r="F178" s="1526"/>
      <c r="G178" s="2214"/>
      <c r="H178" s="2214"/>
      <c r="I178" s="2215"/>
      <c r="J178" s="4291"/>
      <c r="K178" s="4383"/>
      <c r="L178" s="4266"/>
      <c r="M178" s="4296"/>
      <c r="N178" s="4266"/>
      <c r="O178" s="4266"/>
      <c r="P178" s="4263"/>
      <c r="Q178" s="4390"/>
      <c r="R178" s="4302"/>
      <c r="S178" s="4263"/>
      <c r="T178" s="4263"/>
      <c r="U178" s="2171" t="s">
        <v>2108</v>
      </c>
      <c r="V178" s="2259">
        <v>0</v>
      </c>
      <c r="W178" s="2173">
        <v>63</v>
      </c>
      <c r="X178" s="2203" t="s">
        <v>2106</v>
      </c>
      <c r="Y178" s="4274"/>
      <c r="Z178" s="4274"/>
      <c r="AA178" s="4274"/>
      <c r="AB178" s="4274"/>
      <c r="AC178" s="4274">
        <v>307101</v>
      </c>
      <c r="AD178" s="4274">
        <v>86875</v>
      </c>
      <c r="AE178" s="4274"/>
      <c r="AF178" s="4274"/>
      <c r="AG178" s="4274"/>
      <c r="AH178" s="4274"/>
      <c r="AI178" s="4274"/>
      <c r="AJ178" s="4274"/>
      <c r="AK178" s="4274"/>
      <c r="AL178" s="4274"/>
      <c r="AM178" s="4274"/>
      <c r="AN178" s="4274"/>
      <c r="AO178" s="4393"/>
      <c r="AP178" s="4393"/>
      <c r="AQ178" s="3276"/>
    </row>
    <row r="179" spans="1:43" ht="30" x14ac:dyDescent="0.2">
      <c r="A179" s="2238"/>
      <c r="B179" s="1526"/>
      <c r="C179" s="2239"/>
      <c r="D179" s="1526"/>
      <c r="E179" s="2239"/>
      <c r="F179" s="1526"/>
      <c r="G179" s="2214"/>
      <c r="H179" s="2214"/>
      <c r="I179" s="2215"/>
      <c r="J179" s="4291"/>
      <c r="K179" s="4383"/>
      <c r="L179" s="4266"/>
      <c r="M179" s="4296"/>
      <c r="N179" s="4266"/>
      <c r="O179" s="4266"/>
      <c r="P179" s="4263"/>
      <c r="Q179" s="4390"/>
      <c r="R179" s="4302"/>
      <c r="S179" s="4263"/>
      <c r="T179" s="4263"/>
      <c r="U179" s="2171" t="s">
        <v>2109</v>
      </c>
      <c r="V179" s="2259">
        <v>20000000</v>
      </c>
      <c r="W179" s="2173">
        <v>63</v>
      </c>
      <c r="X179" s="2203" t="s">
        <v>2106</v>
      </c>
      <c r="Y179" s="4274"/>
      <c r="Z179" s="4274"/>
      <c r="AA179" s="4274"/>
      <c r="AB179" s="4274"/>
      <c r="AC179" s="4274"/>
      <c r="AD179" s="4274"/>
      <c r="AE179" s="4274"/>
      <c r="AF179" s="4274"/>
      <c r="AG179" s="4274"/>
      <c r="AH179" s="4274"/>
      <c r="AI179" s="4274"/>
      <c r="AJ179" s="4274"/>
      <c r="AK179" s="4274"/>
      <c r="AL179" s="4274"/>
      <c r="AM179" s="4274"/>
      <c r="AN179" s="4274"/>
      <c r="AO179" s="4393"/>
      <c r="AP179" s="4393"/>
      <c r="AQ179" s="3276"/>
    </row>
    <row r="180" spans="1:43" ht="45" x14ac:dyDescent="0.2">
      <c r="A180" s="2238"/>
      <c r="B180" s="1526"/>
      <c r="C180" s="2239"/>
      <c r="D180" s="1526"/>
      <c r="E180" s="2239"/>
      <c r="F180" s="1526"/>
      <c r="G180" s="2214"/>
      <c r="H180" s="2214"/>
      <c r="I180" s="2215"/>
      <c r="J180" s="4291"/>
      <c r="K180" s="4383"/>
      <c r="L180" s="4266"/>
      <c r="M180" s="4296"/>
      <c r="N180" s="4266"/>
      <c r="O180" s="4266"/>
      <c r="P180" s="4263"/>
      <c r="Q180" s="4390"/>
      <c r="R180" s="4302"/>
      <c r="S180" s="4263"/>
      <c r="T180" s="4263"/>
      <c r="U180" s="2171" t="s">
        <v>2110</v>
      </c>
      <c r="V180" s="2259">
        <v>20000000</v>
      </c>
      <c r="W180" s="2173">
        <v>63</v>
      </c>
      <c r="X180" s="2203" t="s">
        <v>2106</v>
      </c>
      <c r="Y180" s="4274"/>
      <c r="Z180" s="4274"/>
      <c r="AA180" s="4274"/>
      <c r="AB180" s="4274"/>
      <c r="AC180" s="4274">
        <v>307101</v>
      </c>
      <c r="AD180" s="4274">
        <v>86875</v>
      </c>
      <c r="AE180" s="4274"/>
      <c r="AF180" s="4274"/>
      <c r="AG180" s="4274"/>
      <c r="AH180" s="4274"/>
      <c r="AI180" s="4274"/>
      <c r="AJ180" s="4274"/>
      <c r="AK180" s="4274"/>
      <c r="AL180" s="4274"/>
      <c r="AM180" s="4274"/>
      <c r="AN180" s="4274"/>
      <c r="AO180" s="4393"/>
      <c r="AP180" s="4393"/>
      <c r="AQ180" s="3276"/>
    </row>
    <row r="181" spans="1:43" ht="45" x14ac:dyDescent="0.2">
      <c r="A181" s="2238"/>
      <c r="B181" s="1526"/>
      <c r="C181" s="2239"/>
      <c r="D181" s="1526"/>
      <c r="E181" s="2239"/>
      <c r="F181" s="1526"/>
      <c r="G181" s="2214"/>
      <c r="H181" s="2214"/>
      <c r="I181" s="2215"/>
      <c r="J181" s="4291"/>
      <c r="K181" s="4383"/>
      <c r="L181" s="4266"/>
      <c r="M181" s="4296"/>
      <c r="N181" s="4266"/>
      <c r="O181" s="4266"/>
      <c r="P181" s="4263"/>
      <c r="Q181" s="4390"/>
      <c r="R181" s="4302"/>
      <c r="S181" s="4263"/>
      <c r="T181" s="4263"/>
      <c r="U181" s="2171" t="s">
        <v>2111</v>
      </c>
      <c r="V181" s="2259">
        <v>20000000</v>
      </c>
      <c r="W181" s="2173">
        <v>63</v>
      </c>
      <c r="X181" s="2203" t="s">
        <v>2106</v>
      </c>
      <c r="Y181" s="4274"/>
      <c r="Z181" s="4274"/>
      <c r="AA181" s="4274"/>
      <c r="AB181" s="4274"/>
      <c r="AC181" s="4274">
        <v>307101</v>
      </c>
      <c r="AD181" s="4274">
        <v>86875</v>
      </c>
      <c r="AE181" s="4274"/>
      <c r="AF181" s="4274"/>
      <c r="AG181" s="4274"/>
      <c r="AH181" s="4274"/>
      <c r="AI181" s="4274"/>
      <c r="AJ181" s="4274"/>
      <c r="AK181" s="4274"/>
      <c r="AL181" s="4274"/>
      <c r="AM181" s="4274"/>
      <c r="AN181" s="4274"/>
      <c r="AO181" s="4393"/>
      <c r="AP181" s="4393"/>
      <c r="AQ181" s="3276"/>
    </row>
    <row r="182" spans="1:43" ht="30" x14ac:dyDescent="0.2">
      <c r="A182" s="2238"/>
      <c r="B182" s="1526"/>
      <c r="C182" s="2239"/>
      <c r="D182" s="1526"/>
      <c r="E182" s="2239"/>
      <c r="F182" s="1526"/>
      <c r="G182" s="2214"/>
      <c r="H182" s="2214"/>
      <c r="I182" s="2215"/>
      <c r="J182" s="4291"/>
      <c r="K182" s="4383"/>
      <c r="L182" s="4266"/>
      <c r="M182" s="4296"/>
      <c r="N182" s="4266"/>
      <c r="O182" s="4266"/>
      <c r="P182" s="4263"/>
      <c r="Q182" s="4390"/>
      <c r="R182" s="4302"/>
      <c r="S182" s="4263"/>
      <c r="T182" s="4263"/>
      <c r="U182" s="2171" t="s">
        <v>2112</v>
      </c>
      <c r="V182" s="2259">
        <v>20000000</v>
      </c>
      <c r="W182" s="2173">
        <v>63</v>
      </c>
      <c r="X182" s="2203" t="s">
        <v>2106</v>
      </c>
      <c r="Y182" s="4274"/>
      <c r="Z182" s="4274"/>
      <c r="AA182" s="4274"/>
      <c r="AB182" s="4274"/>
      <c r="AC182" s="4274">
        <v>307101</v>
      </c>
      <c r="AD182" s="4274">
        <v>86875</v>
      </c>
      <c r="AE182" s="4274"/>
      <c r="AF182" s="4274"/>
      <c r="AG182" s="4274"/>
      <c r="AH182" s="4274"/>
      <c r="AI182" s="4274"/>
      <c r="AJ182" s="4274"/>
      <c r="AK182" s="4274"/>
      <c r="AL182" s="4274"/>
      <c r="AM182" s="4274"/>
      <c r="AN182" s="4274"/>
      <c r="AO182" s="4393"/>
      <c r="AP182" s="4393"/>
      <c r="AQ182" s="3276"/>
    </row>
    <row r="183" spans="1:43" ht="45" x14ac:dyDescent="0.2">
      <c r="A183" s="2238"/>
      <c r="B183" s="1526"/>
      <c r="C183" s="2239"/>
      <c r="D183" s="1526"/>
      <c r="E183" s="2239"/>
      <c r="F183" s="1526"/>
      <c r="G183" s="2175"/>
      <c r="H183" s="2175"/>
      <c r="I183" s="2176"/>
      <c r="J183" s="4291"/>
      <c r="K183" s="4384"/>
      <c r="L183" s="4267"/>
      <c r="M183" s="4297"/>
      <c r="N183" s="4267"/>
      <c r="O183" s="4267"/>
      <c r="P183" s="4264"/>
      <c r="Q183" s="4391"/>
      <c r="R183" s="4303"/>
      <c r="S183" s="4264"/>
      <c r="T183" s="4264"/>
      <c r="U183" s="2171" t="s">
        <v>2113</v>
      </c>
      <c r="V183" s="2259">
        <v>20000000</v>
      </c>
      <c r="W183" s="2173">
        <v>61</v>
      </c>
      <c r="X183" s="2203" t="s">
        <v>1868</v>
      </c>
      <c r="Y183" s="4275"/>
      <c r="Z183" s="4275"/>
      <c r="AA183" s="4275"/>
      <c r="AB183" s="4275"/>
      <c r="AC183" s="4275">
        <v>307101</v>
      </c>
      <c r="AD183" s="4275">
        <v>86875</v>
      </c>
      <c r="AE183" s="4275"/>
      <c r="AF183" s="4275"/>
      <c r="AG183" s="4275"/>
      <c r="AH183" s="4275"/>
      <c r="AI183" s="4275"/>
      <c r="AJ183" s="4275"/>
      <c r="AK183" s="4275"/>
      <c r="AL183" s="4275"/>
      <c r="AM183" s="4275"/>
      <c r="AN183" s="4275"/>
      <c r="AO183" s="4394"/>
      <c r="AP183" s="4394"/>
      <c r="AQ183" s="3277"/>
    </row>
    <row r="184" spans="1:43" ht="15" customHeight="1" x14ac:dyDescent="0.2">
      <c r="A184" s="2238"/>
      <c r="B184" s="1526"/>
      <c r="C184" s="2239"/>
      <c r="D184" s="1526"/>
      <c r="E184" s="2239"/>
      <c r="G184" s="2194">
        <v>44</v>
      </c>
      <c r="H184" s="2160" t="s">
        <v>2114</v>
      </c>
      <c r="I184" s="2160"/>
      <c r="J184" s="2160"/>
      <c r="K184" s="2195"/>
      <c r="L184" s="2160"/>
      <c r="M184" s="2196"/>
      <c r="N184" s="2160"/>
      <c r="O184" s="2160"/>
      <c r="P184" s="2160"/>
      <c r="Q184" s="2160"/>
      <c r="R184" s="2160"/>
      <c r="S184" s="2160"/>
      <c r="T184" s="2195"/>
      <c r="U184" s="2160"/>
      <c r="V184" s="2160"/>
      <c r="W184" s="2160"/>
      <c r="X184" s="2200"/>
      <c r="Y184" s="2160"/>
      <c r="Z184" s="2160"/>
      <c r="AA184" s="2160"/>
      <c r="AB184" s="2160"/>
      <c r="AC184" s="2160"/>
      <c r="AD184" s="2160"/>
      <c r="AE184" s="2160"/>
      <c r="AF184" s="2160"/>
      <c r="AG184" s="2160"/>
      <c r="AH184" s="2160"/>
      <c r="AI184" s="2160"/>
      <c r="AJ184" s="2160"/>
      <c r="AK184" s="2160"/>
      <c r="AL184" s="2160"/>
      <c r="AM184" s="2160"/>
      <c r="AN184" s="2160"/>
      <c r="AO184" s="2160"/>
      <c r="AP184" s="2263"/>
      <c r="AQ184" s="2219"/>
    </row>
    <row r="185" spans="1:43" ht="60" x14ac:dyDescent="0.2">
      <c r="A185" s="2238"/>
      <c r="B185" s="1526"/>
      <c r="C185" s="2239"/>
      <c r="D185" s="1526"/>
      <c r="E185" s="2239"/>
      <c r="F185" s="1526"/>
      <c r="G185" s="2169"/>
      <c r="H185" s="2169"/>
      <c r="I185" s="2170"/>
      <c r="J185" s="4259">
        <v>154</v>
      </c>
      <c r="K185" s="4262" t="s">
        <v>2115</v>
      </c>
      <c r="L185" s="4265" t="s">
        <v>1861</v>
      </c>
      <c r="M185" s="4322">
        <v>5</v>
      </c>
      <c r="N185" s="4265" t="s">
        <v>2116</v>
      </c>
      <c r="O185" s="4265" t="s">
        <v>2117</v>
      </c>
      <c r="P185" s="4262" t="s">
        <v>2118</v>
      </c>
      <c r="Q185" s="4298">
        <f>+(V185+V186+V187+V189+V188+V190)/R185</f>
        <v>0.15942028985507245</v>
      </c>
      <c r="R185" s="4301">
        <v>276000000</v>
      </c>
      <c r="S185" s="4262" t="s">
        <v>2119</v>
      </c>
      <c r="T185" s="4262" t="s">
        <v>2120</v>
      </c>
      <c r="U185" s="2171" t="s">
        <v>2121</v>
      </c>
      <c r="V185" s="2259">
        <v>4000000</v>
      </c>
      <c r="W185" s="2173">
        <v>61</v>
      </c>
      <c r="X185" s="2213" t="s">
        <v>1868</v>
      </c>
      <c r="Y185" s="4395">
        <v>292684</v>
      </c>
      <c r="Z185" s="4395">
        <v>282326</v>
      </c>
      <c r="AA185" s="4395" t="s">
        <v>1869</v>
      </c>
      <c r="AB185" s="4395" t="s">
        <v>1869</v>
      </c>
      <c r="AC185" s="4395" t="s">
        <v>1869</v>
      </c>
      <c r="AD185" s="4395" t="s">
        <v>1869</v>
      </c>
      <c r="AE185" s="4395">
        <v>2145</v>
      </c>
      <c r="AF185" s="4395">
        <v>12718</v>
      </c>
      <c r="AG185" s="4395">
        <v>26</v>
      </c>
      <c r="AH185" s="4395">
        <v>37</v>
      </c>
      <c r="AI185" s="4395" t="s">
        <v>1869</v>
      </c>
      <c r="AJ185" s="4395" t="s">
        <v>1869</v>
      </c>
      <c r="AK185" s="4395">
        <v>53164</v>
      </c>
      <c r="AL185" s="4395">
        <v>16982</v>
      </c>
      <c r="AM185" s="4395">
        <v>60013</v>
      </c>
      <c r="AN185" s="4395">
        <v>575010</v>
      </c>
      <c r="AO185" s="4392">
        <v>43466</v>
      </c>
      <c r="AP185" s="4392">
        <v>43830</v>
      </c>
      <c r="AQ185" s="3610" t="s">
        <v>1870</v>
      </c>
    </row>
    <row r="186" spans="1:43" ht="30" x14ac:dyDescent="0.2">
      <c r="A186" s="2238"/>
      <c r="B186" s="1526"/>
      <c r="C186" s="2239"/>
      <c r="D186" s="1526"/>
      <c r="E186" s="2239"/>
      <c r="F186" s="1526"/>
      <c r="G186" s="2165"/>
      <c r="H186" s="2165"/>
      <c r="I186" s="2166"/>
      <c r="J186" s="4260"/>
      <c r="K186" s="4263"/>
      <c r="L186" s="4266"/>
      <c r="M186" s="4322"/>
      <c r="N186" s="4266"/>
      <c r="O186" s="4266"/>
      <c r="P186" s="4263"/>
      <c r="Q186" s="4299"/>
      <c r="R186" s="4302"/>
      <c r="S186" s="4263"/>
      <c r="T186" s="4263"/>
      <c r="U186" s="2171" t="s">
        <v>2122</v>
      </c>
      <c r="V186" s="2259">
        <v>3000000</v>
      </c>
      <c r="W186" s="2173">
        <v>61</v>
      </c>
      <c r="X186" s="2213" t="s">
        <v>1868</v>
      </c>
      <c r="Y186" s="4396"/>
      <c r="Z186" s="4396"/>
      <c r="AA186" s="4396"/>
      <c r="AB186" s="4396"/>
      <c r="AC186" s="4396"/>
      <c r="AD186" s="4396"/>
      <c r="AE186" s="4396"/>
      <c r="AF186" s="4396"/>
      <c r="AG186" s="4396"/>
      <c r="AH186" s="4396"/>
      <c r="AI186" s="4396"/>
      <c r="AJ186" s="4396"/>
      <c r="AK186" s="4396"/>
      <c r="AL186" s="4396"/>
      <c r="AM186" s="4396"/>
      <c r="AN186" s="4396"/>
      <c r="AO186" s="4393"/>
      <c r="AP186" s="4393"/>
      <c r="AQ186" s="3276"/>
    </row>
    <row r="187" spans="1:43" ht="45" x14ac:dyDescent="0.2">
      <c r="A187" s="2238"/>
      <c r="B187" s="1526"/>
      <c r="C187" s="2239"/>
      <c r="D187" s="1526"/>
      <c r="E187" s="2239"/>
      <c r="F187" s="1526"/>
      <c r="G187" s="2165"/>
      <c r="H187" s="2165"/>
      <c r="I187" s="2166"/>
      <c r="J187" s="4260"/>
      <c r="K187" s="4263"/>
      <c r="L187" s="4266"/>
      <c r="M187" s="4322"/>
      <c r="N187" s="4266"/>
      <c r="O187" s="4266"/>
      <c r="P187" s="4263"/>
      <c r="Q187" s="4299"/>
      <c r="R187" s="4302"/>
      <c r="S187" s="4263"/>
      <c r="T187" s="4263"/>
      <c r="U187" s="2171" t="s">
        <v>2123</v>
      </c>
      <c r="V187" s="2259">
        <v>16000000</v>
      </c>
      <c r="W187" s="2173">
        <v>61</v>
      </c>
      <c r="X187" s="2213" t="s">
        <v>1868</v>
      </c>
      <c r="Y187" s="4396"/>
      <c r="Z187" s="4396"/>
      <c r="AA187" s="4396"/>
      <c r="AB187" s="4396"/>
      <c r="AC187" s="4396"/>
      <c r="AD187" s="4396"/>
      <c r="AE187" s="4396"/>
      <c r="AF187" s="4396"/>
      <c r="AG187" s="4396"/>
      <c r="AH187" s="4396"/>
      <c r="AI187" s="4396"/>
      <c r="AJ187" s="4396"/>
      <c r="AK187" s="4396"/>
      <c r="AL187" s="4396"/>
      <c r="AM187" s="4396"/>
      <c r="AN187" s="4396"/>
      <c r="AO187" s="4393"/>
      <c r="AP187" s="4393"/>
      <c r="AQ187" s="3276"/>
    </row>
    <row r="188" spans="1:43" ht="30" x14ac:dyDescent="0.2">
      <c r="A188" s="2238"/>
      <c r="B188" s="1526"/>
      <c r="C188" s="2239"/>
      <c r="D188" s="1526"/>
      <c r="E188" s="2239"/>
      <c r="F188" s="1526"/>
      <c r="G188" s="2165"/>
      <c r="H188" s="2165"/>
      <c r="I188" s="2166"/>
      <c r="J188" s="4260"/>
      <c r="K188" s="4263"/>
      <c r="L188" s="4266"/>
      <c r="M188" s="4322"/>
      <c r="N188" s="4266"/>
      <c r="O188" s="4266"/>
      <c r="P188" s="4263"/>
      <c r="Q188" s="4299"/>
      <c r="R188" s="4302"/>
      <c r="S188" s="4263"/>
      <c r="T188" s="4263"/>
      <c r="U188" s="2171" t="s">
        <v>2124</v>
      </c>
      <c r="V188" s="2259">
        <v>6000000</v>
      </c>
      <c r="W188" s="2173">
        <v>61</v>
      </c>
      <c r="X188" s="2213" t="s">
        <v>1868</v>
      </c>
      <c r="Y188" s="4396"/>
      <c r="Z188" s="4396"/>
      <c r="AA188" s="4396"/>
      <c r="AB188" s="4396"/>
      <c r="AC188" s="4396"/>
      <c r="AD188" s="4396"/>
      <c r="AE188" s="4396"/>
      <c r="AF188" s="4396"/>
      <c r="AG188" s="4396"/>
      <c r="AH188" s="4396"/>
      <c r="AI188" s="4396"/>
      <c r="AJ188" s="4396"/>
      <c r="AK188" s="4396"/>
      <c r="AL188" s="4396"/>
      <c r="AM188" s="4396"/>
      <c r="AN188" s="4396"/>
      <c r="AO188" s="4393"/>
      <c r="AP188" s="4393"/>
      <c r="AQ188" s="3276"/>
    </row>
    <row r="189" spans="1:43" ht="90" x14ac:dyDescent="0.2">
      <c r="A189" s="2238"/>
      <c r="B189" s="1526"/>
      <c r="C189" s="2239"/>
      <c r="D189" s="1526"/>
      <c r="E189" s="2239"/>
      <c r="F189" s="1526"/>
      <c r="G189" s="2165"/>
      <c r="H189" s="2165"/>
      <c r="I189" s="2166"/>
      <c r="J189" s="4260"/>
      <c r="K189" s="4263"/>
      <c r="L189" s="4266"/>
      <c r="M189" s="4322"/>
      <c r="N189" s="4266"/>
      <c r="O189" s="4266"/>
      <c r="P189" s="4263"/>
      <c r="Q189" s="4299"/>
      <c r="R189" s="4302"/>
      <c r="S189" s="4263"/>
      <c r="T189" s="4263"/>
      <c r="U189" s="2171" t="s">
        <v>2125</v>
      </c>
      <c r="V189" s="2259">
        <v>3000000</v>
      </c>
      <c r="W189" s="2173">
        <v>61</v>
      </c>
      <c r="X189" s="2213" t="s">
        <v>1868</v>
      </c>
      <c r="Y189" s="4396"/>
      <c r="Z189" s="4396"/>
      <c r="AA189" s="4396"/>
      <c r="AB189" s="4396"/>
      <c r="AC189" s="4396"/>
      <c r="AD189" s="4396"/>
      <c r="AE189" s="4396"/>
      <c r="AF189" s="4396"/>
      <c r="AG189" s="4396"/>
      <c r="AH189" s="4396"/>
      <c r="AI189" s="4396"/>
      <c r="AJ189" s="4396"/>
      <c r="AK189" s="4396"/>
      <c r="AL189" s="4396"/>
      <c r="AM189" s="4396"/>
      <c r="AN189" s="4396"/>
      <c r="AO189" s="4393"/>
      <c r="AP189" s="4393"/>
      <c r="AQ189" s="3276"/>
    </row>
    <row r="190" spans="1:43" ht="75" x14ac:dyDescent="0.2">
      <c r="A190" s="2238"/>
      <c r="B190" s="1526"/>
      <c r="C190" s="2239"/>
      <c r="D190" s="1526"/>
      <c r="E190" s="2239"/>
      <c r="F190" s="1526"/>
      <c r="G190" s="2165"/>
      <c r="H190" s="2165"/>
      <c r="I190" s="2166"/>
      <c r="J190" s="4261"/>
      <c r="K190" s="4264"/>
      <c r="L190" s="4267"/>
      <c r="M190" s="4322"/>
      <c r="N190" s="4266"/>
      <c r="O190" s="4266"/>
      <c r="P190" s="4263"/>
      <c r="Q190" s="4300"/>
      <c r="R190" s="4302"/>
      <c r="S190" s="4263"/>
      <c r="T190" s="4264"/>
      <c r="U190" s="2171" t="s">
        <v>2126</v>
      </c>
      <c r="V190" s="2259">
        <v>12000000</v>
      </c>
      <c r="W190" s="2173">
        <v>61</v>
      </c>
      <c r="X190" s="2213" t="s">
        <v>1868</v>
      </c>
      <c r="Y190" s="4396"/>
      <c r="Z190" s="4396"/>
      <c r="AA190" s="4396"/>
      <c r="AB190" s="4396"/>
      <c r="AC190" s="4396"/>
      <c r="AD190" s="4396"/>
      <c r="AE190" s="4396"/>
      <c r="AF190" s="4396"/>
      <c r="AG190" s="4396"/>
      <c r="AH190" s="4396"/>
      <c r="AI190" s="4396"/>
      <c r="AJ190" s="4396"/>
      <c r="AK190" s="4396"/>
      <c r="AL190" s="4396"/>
      <c r="AM190" s="4396"/>
      <c r="AN190" s="4396"/>
      <c r="AO190" s="4393"/>
      <c r="AP190" s="4393"/>
      <c r="AQ190" s="3276"/>
    </row>
    <row r="191" spans="1:43" ht="45" x14ac:dyDescent="0.2">
      <c r="A191" s="2238"/>
      <c r="B191" s="1526"/>
      <c r="C191" s="2239"/>
      <c r="D191" s="1526"/>
      <c r="E191" s="2239"/>
      <c r="F191" s="1526"/>
      <c r="G191" s="2165"/>
      <c r="H191" s="2165"/>
      <c r="I191" s="2166"/>
      <c r="J191" s="4259">
        <v>155</v>
      </c>
      <c r="K191" s="4262" t="s">
        <v>2127</v>
      </c>
      <c r="L191" s="4265" t="s">
        <v>1861</v>
      </c>
      <c r="M191" s="4322">
        <v>1</v>
      </c>
      <c r="N191" s="4266"/>
      <c r="O191" s="4266"/>
      <c r="P191" s="4263"/>
      <c r="Q191" s="4298">
        <f>+(V191+V192+V193+V194+V195+V196+V197+V198)/R185</f>
        <v>0.30434782608695654</v>
      </c>
      <c r="R191" s="4302"/>
      <c r="S191" s="4263"/>
      <c r="T191" s="4262" t="s">
        <v>2128</v>
      </c>
      <c r="U191" s="2171" t="s">
        <v>2129</v>
      </c>
      <c r="V191" s="2259">
        <v>1000000</v>
      </c>
      <c r="W191" s="2173">
        <v>61</v>
      </c>
      <c r="X191" s="2213" t="s">
        <v>1868</v>
      </c>
      <c r="Y191" s="4396"/>
      <c r="Z191" s="4396"/>
      <c r="AA191" s="4396"/>
      <c r="AB191" s="4396"/>
      <c r="AC191" s="4396"/>
      <c r="AD191" s="4396"/>
      <c r="AE191" s="4396"/>
      <c r="AF191" s="4396"/>
      <c r="AG191" s="4396"/>
      <c r="AH191" s="4396"/>
      <c r="AI191" s="4396"/>
      <c r="AJ191" s="4396"/>
      <c r="AK191" s="4396"/>
      <c r="AL191" s="4396"/>
      <c r="AM191" s="4396"/>
      <c r="AN191" s="4396"/>
      <c r="AO191" s="4393"/>
      <c r="AP191" s="4393"/>
      <c r="AQ191" s="3276"/>
    </row>
    <row r="192" spans="1:43" ht="75" x14ac:dyDescent="0.2">
      <c r="A192" s="2238"/>
      <c r="B192" s="1526"/>
      <c r="C192" s="2239"/>
      <c r="D192" s="1526"/>
      <c r="E192" s="2239"/>
      <c r="F192" s="1526"/>
      <c r="G192" s="2165"/>
      <c r="H192" s="2165"/>
      <c r="I192" s="2166"/>
      <c r="J192" s="4260"/>
      <c r="K192" s="4263"/>
      <c r="L192" s="4266"/>
      <c r="M192" s="4322"/>
      <c r="N192" s="4266"/>
      <c r="O192" s="4266"/>
      <c r="P192" s="4263"/>
      <c r="Q192" s="4299"/>
      <c r="R192" s="4302"/>
      <c r="S192" s="4263"/>
      <c r="T192" s="4263"/>
      <c r="U192" s="2171" t="s">
        <v>2130</v>
      </c>
      <c r="V192" s="2259">
        <v>18000000</v>
      </c>
      <c r="W192" s="2173">
        <v>61</v>
      </c>
      <c r="X192" s="2213" t="s">
        <v>1868</v>
      </c>
      <c r="Y192" s="4396"/>
      <c r="Z192" s="4396"/>
      <c r="AA192" s="4396"/>
      <c r="AB192" s="4396"/>
      <c r="AC192" s="4396"/>
      <c r="AD192" s="4396"/>
      <c r="AE192" s="4396"/>
      <c r="AF192" s="4396"/>
      <c r="AG192" s="4396"/>
      <c r="AH192" s="4396"/>
      <c r="AI192" s="4396"/>
      <c r="AJ192" s="4396"/>
      <c r="AK192" s="4396"/>
      <c r="AL192" s="4396"/>
      <c r="AM192" s="4396"/>
      <c r="AN192" s="4396"/>
      <c r="AO192" s="4393"/>
      <c r="AP192" s="4393"/>
      <c r="AQ192" s="3276"/>
    </row>
    <row r="193" spans="1:43" ht="30" x14ac:dyDescent="0.2">
      <c r="A193" s="2238"/>
      <c r="B193" s="1526"/>
      <c r="C193" s="2239"/>
      <c r="D193" s="1526"/>
      <c r="E193" s="2239"/>
      <c r="F193" s="1526"/>
      <c r="G193" s="2165"/>
      <c r="H193" s="2165"/>
      <c r="I193" s="2166"/>
      <c r="J193" s="4260"/>
      <c r="K193" s="4263"/>
      <c r="L193" s="4266"/>
      <c r="M193" s="4322"/>
      <c r="N193" s="4266"/>
      <c r="O193" s="4266"/>
      <c r="P193" s="4263"/>
      <c r="Q193" s="4299"/>
      <c r="R193" s="4302"/>
      <c r="S193" s="4263"/>
      <c r="T193" s="4263"/>
      <c r="U193" s="2171" t="s">
        <v>2131</v>
      </c>
      <c r="V193" s="2259">
        <v>45000000</v>
      </c>
      <c r="W193" s="2173">
        <v>61</v>
      </c>
      <c r="X193" s="2213" t="s">
        <v>1868</v>
      </c>
      <c r="Y193" s="4396"/>
      <c r="Z193" s="4396"/>
      <c r="AA193" s="4396"/>
      <c r="AB193" s="4396"/>
      <c r="AC193" s="4396"/>
      <c r="AD193" s="4396"/>
      <c r="AE193" s="4396"/>
      <c r="AF193" s="4396"/>
      <c r="AG193" s="4396"/>
      <c r="AH193" s="4396"/>
      <c r="AI193" s="4396"/>
      <c r="AJ193" s="4396"/>
      <c r="AK193" s="4396"/>
      <c r="AL193" s="4396"/>
      <c r="AM193" s="4396"/>
      <c r="AN193" s="4396"/>
      <c r="AO193" s="4393"/>
      <c r="AP193" s="4393"/>
      <c r="AQ193" s="3276"/>
    </row>
    <row r="194" spans="1:43" ht="30" x14ac:dyDescent="0.2">
      <c r="A194" s="2238"/>
      <c r="B194" s="1526"/>
      <c r="C194" s="2239"/>
      <c r="D194" s="1526"/>
      <c r="E194" s="2239"/>
      <c r="F194" s="1526"/>
      <c r="G194" s="2165"/>
      <c r="H194" s="2165"/>
      <c r="I194" s="2166"/>
      <c r="J194" s="4260"/>
      <c r="K194" s="4263"/>
      <c r="L194" s="4266"/>
      <c r="M194" s="4322"/>
      <c r="N194" s="4266"/>
      <c r="O194" s="4266"/>
      <c r="P194" s="4263"/>
      <c r="Q194" s="4299"/>
      <c r="R194" s="4302"/>
      <c r="S194" s="4263"/>
      <c r="T194" s="4263"/>
      <c r="U194" s="2171" t="s">
        <v>2132</v>
      </c>
      <c r="V194" s="2259">
        <v>1000000</v>
      </c>
      <c r="W194" s="2173">
        <v>61</v>
      </c>
      <c r="X194" s="2213" t="s">
        <v>1868</v>
      </c>
      <c r="Y194" s="4396"/>
      <c r="Z194" s="4396"/>
      <c r="AA194" s="4396"/>
      <c r="AB194" s="4396"/>
      <c r="AC194" s="4396"/>
      <c r="AD194" s="4396"/>
      <c r="AE194" s="4396"/>
      <c r="AF194" s="4396"/>
      <c r="AG194" s="4396"/>
      <c r="AH194" s="4396"/>
      <c r="AI194" s="4396"/>
      <c r="AJ194" s="4396"/>
      <c r="AK194" s="4396"/>
      <c r="AL194" s="4396"/>
      <c r="AM194" s="4396"/>
      <c r="AN194" s="4396"/>
      <c r="AO194" s="4393"/>
      <c r="AP194" s="4393"/>
      <c r="AQ194" s="3276"/>
    </row>
    <row r="195" spans="1:43" ht="45" x14ac:dyDescent="0.2">
      <c r="A195" s="2238"/>
      <c r="B195" s="1526"/>
      <c r="C195" s="2239"/>
      <c r="D195" s="1526"/>
      <c r="E195" s="2239"/>
      <c r="F195" s="1526"/>
      <c r="G195" s="2165"/>
      <c r="H195" s="2165"/>
      <c r="I195" s="2166"/>
      <c r="J195" s="4260"/>
      <c r="K195" s="4263"/>
      <c r="L195" s="4266"/>
      <c r="M195" s="4322"/>
      <c r="N195" s="4266"/>
      <c r="O195" s="4266"/>
      <c r="P195" s="4263"/>
      <c r="Q195" s="4299"/>
      <c r="R195" s="4302"/>
      <c r="S195" s="4263"/>
      <c r="T195" s="4263"/>
      <c r="U195" s="2171" t="s">
        <v>2133</v>
      </c>
      <c r="V195" s="2259">
        <v>1000000</v>
      </c>
      <c r="W195" s="2173">
        <v>61</v>
      </c>
      <c r="X195" s="2213" t="s">
        <v>1868</v>
      </c>
      <c r="Y195" s="4396"/>
      <c r="Z195" s="4396"/>
      <c r="AA195" s="4396"/>
      <c r="AB195" s="4396"/>
      <c r="AC195" s="4396"/>
      <c r="AD195" s="4396"/>
      <c r="AE195" s="4396"/>
      <c r="AF195" s="4396"/>
      <c r="AG195" s="4396"/>
      <c r="AH195" s="4396"/>
      <c r="AI195" s="4396"/>
      <c r="AJ195" s="4396"/>
      <c r="AK195" s="4396"/>
      <c r="AL195" s="4396"/>
      <c r="AM195" s="4396"/>
      <c r="AN195" s="4396"/>
      <c r="AO195" s="4393"/>
      <c r="AP195" s="4393"/>
      <c r="AQ195" s="3276"/>
    </row>
    <row r="196" spans="1:43" ht="45" x14ac:dyDescent="0.2">
      <c r="A196" s="2238"/>
      <c r="B196" s="1526"/>
      <c r="C196" s="2239"/>
      <c r="D196" s="1526"/>
      <c r="E196" s="2239"/>
      <c r="F196" s="1526"/>
      <c r="G196" s="2165"/>
      <c r="H196" s="2165"/>
      <c r="I196" s="2166"/>
      <c r="J196" s="4260"/>
      <c r="K196" s="4263"/>
      <c r="L196" s="4266"/>
      <c r="M196" s="4322"/>
      <c r="N196" s="4266"/>
      <c r="O196" s="4266"/>
      <c r="P196" s="4263"/>
      <c r="Q196" s="4299"/>
      <c r="R196" s="4302"/>
      <c r="S196" s="4263"/>
      <c r="T196" s="4263"/>
      <c r="U196" s="2171" t="s">
        <v>2134</v>
      </c>
      <c r="V196" s="2259">
        <v>13500000</v>
      </c>
      <c r="W196" s="2173">
        <v>61</v>
      </c>
      <c r="X196" s="2213" t="s">
        <v>1868</v>
      </c>
      <c r="Y196" s="4396"/>
      <c r="Z196" s="4396"/>
      <c r="AA196" s="4396"/>
      <c r="AB196" s="4396"/>
      <c r="AC196" s="4396"/>
      <c r="AD196" s="4396"/>
      <c r="AE196" s="4396"/>
      <c r="AF196" s="4396"/>
      <c r="AG196" s="4396"/>
      <c r="AH196" s="4396"/>
      <c r="AI196" s="4396"/>
      <c r="AJ196" s="4396"/>
      <c r="AK196" s="4396"/>
      <c r="AL196" s="4396"/>
      <c r="AM196" s="4396"/>
      <c r="AN196" s="4396"/>
      <c r="AO196" s="4393"/>
      <c r="AP196" s="4393"/>
      <c r="AQ196" s="3276"/>
    </row>
    <row r="197" spans="1:43" ht="30" x14ac:dyDescent="0.2">
      <c r="A197" s="2238"/>
      <c r="B197" s="1526"/>
      <c r="C197" s="2239"/>
      <c r="D197" s="1526"/>
      <c r="E197" s="2239"/>
      <c r="F197" s="1526"/>
      <c r="G197" s="2165"/>
      <c r="H197" s="2165"/>
      <c r="I197" s="2166"/>
      <c r="J197" s="4260"/>
      <c r="K197" s="4263"/>
      <c r="L197" s="4266"/>
      <c r="M197" s="4322"/>
      <c r="N197" s="4266"/>
      <c r="O197" s="4266"/>
      <c r="P197" s="4263"/>
      <c r="Q197" s="4299"/>
      <c r="R197" s="4302"/>
      <c r="S197" s="4263"/>
      <c r="T197" s="4263"/>
      <c r="U197" s="2171" t="s">
        <v>2135</v>
      </c>
      <c r="V197" s="2259">
        <v>3500000</v>
      </c>
      <c r="W197" s="2173">
        <v>61</v>
      </c>
      <c r="X197" s="2213" t="s">
        <v>1868</v>
      </c>
      <c r="Y197" s="4396"/>
      <c r="Z197" s="4396"/>
      <c r="AA197" s="4396"/>
      <c r="AB197" s="4396"/>
      <c r="AC197" s="4396"/>
      <c r="AD197" s="4396"/>
      <c r="AE197" s="4396"/>
      <c r="AF197" s="4396"/>
      <c r="AG197" s="4396"/>
      <c r="AH197" s="4396"/>
      <c r="AI197" s="4396"/>
      <c r="AJ197" s="4396"/>
      <c r="AK197" s="4396"/>
      <c r="AL197" s="4396"/>
      <c r="AM197" s="4396"/>
      <c r="AN197" s="4396"/>
      <c r="AO197" s="4393"/>
      <c r="AP197" s="4393"/>
      <c r="AQ197" s="3276"/>
    </row>
    <row r="198" spans="1:43" ht="30" x14ac:dyDescent="0.2">
      <c r="A198" s="2238"/>
      <c r="B198" s="1526"/>
      <c r="C198" s="2239"/>
      <c r="D198" s="1526"/>
      <c r="E198" s="2239"/>
      <c r="F198" s="1526"/>
      <c r="G198" s="2165"/>
      <c r="H198" s="2165"/>
      <c r="I198" s="2166"/>
      <c r="J198" s="4261"/>
      <c r="K198" s="4264"/>
      <c r="L198" s="4267"/>
      <c r="M198" s="4322"/>
      <c r="N198" s="4266"/>
      <c r="O198" s="4266"/>
      <c r="P198" s="4263"/>
      <c r="Q198" s="4300"/>
      <c r="R198" s="4302"/>
      <c r="S198" s="4263"/>
      <c r="T198" s="4264"/>
      <c r="U198" s="2171" t="s">
        <v>2136</v>
      </c>
      <c r="V198" s="2259">
        <v>1000000</v>
      </c>
      <c r="W198" s="2173">
        <v>61</v>
      </c>
      <c r="X198" s="2213" t="s">
        <v>1868</v>
      </c>
      <c r="Y198" s="4396"/>
      <c r="Z198" s="4396"/>
      <c r="AA198" s="4396"/>
      <c r="AB198" s="4396"/>
      <c r="AC198" s="4396"/>
      <c r="AD198" s="4396"/>
      <c r="AE198" s="4396"/>
      <c r="AF198" s="4396"/>
      <c r="AG198" s="4396"/>
      <c r="AH198" s="4396"/>
      <c r="AI198" s="4396"/>
      <c r="AJ198" s="4396"/>
      <c r="AK198" s="4396"/>
      <c r="AL198" s="4396"/>
      <c r="AM198" s="4396"/>
      <c r="AN198" s="4396"/>
      <c r="AO198" s="4393"/>
      <c r="AP198" s="4393"/>
      <c r="AQ198" s="3276"/>
    </row>
    <row r="199" spans="1:43" ht="45" x14ac:dyDescent="0.2">
      <c r="A199" s="2238"/>
      <c r="B199" s="1526"/>
      <c r="C199" s="2239"/>
      <c r="D199" s="1526"/>
      <c r="E199" s="2239"/>
      <c r="F199" s="1526"/>
      <c r="G199" s="2165"/>
      <c r="H199" s="2165"/>
      <c r="I199" s="2166"/>
      <c r="J199" s="4259">
        <v>156</v>
      </c>
      <c r="K199" s="4262" t="s">
        <v>2137</v>
      </c>
      <c r="L199" s="4265" t="s">
        <v>1861</v>
      </c>
      <c r="M199" s="4322">
        <v>12</v>
      </c>
      <c r="N199" s="4266"/>
      <c r="O199" s="4266"/>
      <c r="P199" s="4263"/>
      <c r="Q199" s="4298">
        <f>+(V199+V200+V201+V202+V203+V204)/R185</f>
        <v>0.33333333333333331</v>
      </c>
      <c r="R199" s="4302"/>
      <c r="S199" s="4263"/>
      <c r="T199" s="4262" t="s">
        <v>2138</v>
      </c>
      <c r="U199" s="2171" t="s">
        <v>2139</v>
      </c>
      <c r="V199" s="2259">
        <v>20000000</v>
      </c>
      <c r="W199" s="2173">
        <v>61</v>
      </c>
      <c r="X199" s="2213" t="s">
        <v>1868</v>
      </c>
      <c r="Y199" s="4396"/>
      <c r="Z199" s="4396"/>
      <c r="AA199" s="4396"/>
      <c r="AB199" s="4396"/>
      <c r="AC199" s="4396"/>
      <c r="AD199" s="4396"/>
      <c r="AE199" s="4396"/>
      <c r="AF199" s="4396"/>
      <c r="AG199" s="4396"/>
      <c r="AH199" s="4396"/>
      <c r="AI199" s="4396"/>
      <c r="AJ199" s="4396"/>
      <c r="AK199" s="4396"/>
      <c r="AL199" s="4396"/>
      <c r="AM199" s="4396"/>
      <c r="AN199" s="4396"/>
      <c r="AO199" s="4393"/>
      <c r="AP199" s="4393"/>
      <c r="AQ199" s="3276"/>
    </row>
    <row r="200" spans="1:43" ht="45" x14ac:dyDescent="0.2">
      <c r="A200" s="2238"/>
      <c r="B200" s="1526"/>
      <c r="C200" s="2239"/>
      <c r="D200" s="1526"/>
      <c r="E200" s="2239"/>
      <c r="F200" s="1526"/>
      <c r="G200" s="2165"/>
      <c r="H200" s="2165"/>
      <c r="I200" s="2166"/>
      <c r="J200" s="4260"/>
      <c r="K200" s="4263"/>
      <c r="L200" s="4266"/>
      <c r="M200" s="4322"/>
      <c r="N200" s="4266"/>
      <c r="O200" s="4266"/>
      <c r="P200" s="4263"/>
      <c r="Q200" s="4299"/>
      <c r="R200" s="4302"/>
      <c r="S200" s="4263"/>
      <c r="T200" s="4263"/>
      <c r="U200" s="2171" t="s">
        <v>2140</v>
      </c>
      <c r="V200" s="2259">
        <v>20000000</v>
      </c>
      <c r="W200" s="2173">
        <v>61</v>
      </c>
      <c r="X200" s="2213" t="s">
        <v>1868</v>
      </c>
      <c r="Y200" s="4396"/>
      <c r="Z200" s="4396"/>
      <c r="AA200" s="4396"/>
      <c r="AB200" s="4396"/>
      <c r="AC200" s="4396"/>
      <c r="AD200" s="4396"/>
      <c r="AE200" s="4396"/>
      <c r="AF200" s="4396"/>
      <c r="AG200" s="4396"/>
      <c r="AH200" s="4396"/>
      <c r="AI200" s="4396"/>
      <c r="AJ200" s="4396"/>
      <c r="AK200" s="4396"/>
      <c r="AL200" s="4396"/>
      <c r="AM200" s="4396"/>
      <c r="AN200" s="4396"/>
      <c r="AO200" s="4393"/>
      <c r="AP200" s="4393"/>
      <c r="AQ200" s="3276"/>
    </row>
    <row r="201" spans="1:43" ht="45" x14ac:dyDescent="0.2">
      <c r="A201" s="2238"/>
      <c r="B201" s="1526"/>
      <c r="C201" s="2239"/>
      <c r="D201" s="1526"/>
      <c r="E201" s="2239"/>
      <c r="F201" s="1526"/>
      <c r="G201" s="2165"/>
      <c r="H201" s="2165"/>
      <c r="I201" s="2166"/>
      <c r="J201" s="4260"/>
      <c r="K201" s="4263"/>
      <c r="L201" s="4266"/>
      <c r="M201" s="4322"/>
      <c r="N201" s="4266"/>
      <c r="O201" s="4266"/>
      <c r="P201" s="4263"/>
      <c r="Q201" s="4299"/>
      <c r="R201" s="4302"/>
      <c r="S201" s="4263"/>
      <c r="T201" s="4263"/>
      <c r="U201" s="2171" t="s">
        <v>2141</v>
      </c>
      <c r="V201" s="2259">
        <v>4000000</v>
      </c>
      <c r="W201" s="2173">
        <v>61</v>
      </c>
      <c r="X201" s="2213" t="s">
        <v>1868</v>
      </c>
      <c r="Y201" s="4396"/>
      <c r="Z201" s="4396"/>
      <c r="AA201" s="4396"/>
      <c r="AB201" s="4396"/>
      <c r="AC201" s="4396"/>
      <c r="AD201" s="4396"/>
      <c r="AE201" s="4396"/>
      <c r="AF201" s="4396"/>
      <c r="AG201" s="4396"/>
      <c r="AH201" s="4396"/>
      <c r="AI201" s="4396"/>
      <c r="AJ201" s="4396"/>
      <c r="AK201" s="4396"/>
      <c r="AL201" s="4396"/>
      <c r="AM201" s="4396"/>
      <c r="AN201" s="4396"/>
      <c r="AO201" s="4393"/>
      <c r="AP201" s="4393"/>
      <c r="AQ201" s="3276"/>
    </row>
    <row r="202" spans="1:43" ht="45" x14ac:dyDescent="0.2">
      <c r="A202" s="2238"/>
      <c r="B202" s="1526"/>
      <c r="C202" s="2239"/>
      <c r="D202" s="1526"/>
      <c r="E202" s="2239"/>
      <c r="F202" s="1526"/>
      <c r="G202" s="2165"/>
      <c r="H202" s="2165"/>
      <c r="I202" s="2166"/>
      <c r="J202" s="4260"/>
      <c r="K202" s="4263"/>
      <c r="L202" s="4266"/>
      <c r="M202" s="4322"/>
      <c r="N202" s="4266"/>
      <c r="O202" s="4266"/>
      <c r="P202" s="4263"/>
      <c r="Q202" s="4299"/>
      <c r="R202" s="4302"/>
      <c r="S202" s="4263"/>
      <c r="T202" s="4263"/>
      <c r="U202" s="2171" t="s">
        <v>2142</v>
      </c>
      <c r="V202" s="2259">
        <v>16000000</v>
      </c>
      <c r="W202" s="2173">
        <v>61</v>
      </c>
      <c r="X202" s="2213" t="s">
        <v>1868</v>
      </c>
      <c r="Y202" s="4396"/>
      <c r="Z202" s="4396"/>
      <c r="AA202" s="4396"/>
      <c r="AB202" s="4396"/>
      <c r="AC202" s="4396"/>
      <c r="AD202" s="4396"/>
      <c r="AE202" s="4396"/>
      <c r="AF202" s="4396"/>
      <c r="AG202" s="4396"/>
      <c r="AH202" s="4396"/>
      <c r="AI202" s="4396"/>
      <c r="AJ202" s="4396"/>
      <c r="AK202" s="4396"/>
      <c r="AL202" s="4396"/>
      <c r="AM202" s="4396"/>
      <c r="AN202" s="4396"/>
      <c r="AO202" s="4393"/>
      <c r="AP202" s="4393"/>
      <c r="AQ202" s="3276"/>
    </row>
    <row r="203" spans="1:43" ht="45" x14ac:dyDescent="0.2">
      <c r="A203" s="2238"/>
      <c r="B203" s="1526"/>
      <c r="C203" s="2239"/>
      <c r="D203" s="1526"/>
      <c r="E203" s="2239"/>
      <c r="F203" s="1526"/>
      <c r="G203" s="2165"/>
      <c r="H203" s="2165"/>
      <c r="I203" s="2166"/>
      <c r="J203" s="4260"/>
      <c r="K203" s="4263"/>
      <c r="L203" s="4266"/>
      <c r="M203" s="4322"/>
      <c r="N203" s="4266"/>
      <c r="O203" s="4266"/>
      <c r="P203" s="4263"/>
      <c r="Q203" s="4299"/>
      <c r="R203" s="4302"/>
      <c r="S203" s="4263"/>
      <c r="T203" s="4263"/>
      <c r="U203" s="2171" t="s">
        <v>2143</v>
      </c>
      <c r="V203" s="2259">
        <v>16000000</v>
      </c>
      <c r="W203" s="2173">
        <v>61</v>
      </c>
      <c r="X203" s="2213" t="s">
        <v>1868</v>
      </c>
      <c r="Y203" s="4396"/>
      <c r="Z203" s="4396"/>
      <c r="AA203" s="4396"/>
      <c r="AB203" s="4396"/>
      <c r="AC203" s="4396"/>
      <c r="AD203" s="4396"/>
      <c r="AE203" s="4396"/>
      <c r="AF203" s="4396"/>
      <c r="AG203" s="4396"/>
      <c r="AH203" s="4396"/>
      <c r="AI203" s="4396"/>
      <c r="AJ203" s="4396"/>
      <c r="AK203" s="4396"/>
      <c r="AL203" s="4396"/>
      <c r="AM203" s="4396"/>
      <c r="AN203" s="4396"/>
      <c r="AO203" s="4393"/>
      <c r="AP203" s="4393"/>
      <c r="AQ203" s="3276"/>
    </row>
    <row r="204" spans="1:43" ht="30" x14ac:dyDescent="0.2">
      <c r="A204" s="2238"/>
      <c r="B204" s="1526"/>
      <c r="C204" s="2239"/>
      <c r="D204" s="1526"/>
      <c r="E204" s="2239"/>
      <c r="F204" s="1526"/>
      <c r="G204" s="2165"/>
      <c r="H204" s="2165"/>
      <c r="I204" s="2166"/>
      <c r="J204" s="4261"/>
      <c r="K204" s="4264"/>
      <c r="L204" s="4267"/>
      <c r="M204" s="4322"/>
      <c r="N204" s="4266"/>
      <c r="O204" s="4266"/>
      <c r="P204" s="4263"/>
      <c r="Q204" s="4300"/>
      <c r="R204" s="4302"/>
      <c r="S204" s="4263"/>
      <c r="T204" s="4264"/>
      <c r="U204" s="2171" t="s">
        <v>2144</v>
      </c>
      <c r="V204" s="2259">
        <v>16000000</v>
      </c>
      <c r="W204" s="2173">
        <v>61</v>
      </c>
      <c r="X204" s="2213" t="s">
        <v>1868</v>
      </c>
      <c r="Y204" s="4396"/>
      <c r="Z204" s="4396"/>
      <c r="AA204" s="4396"/>
      <c r="AB204" s="4396"/>
      <c r="AC204" s="4396"/>
      <c r="AD204" s="4396"/>
      <c r="AE204" s="4396"/>
      <c r="AF204" s="4396"/>
      <c r="AG204" s="4396"/>
      <c r="AH204" s="4396"/>
      <c r="AI204" s="4396"/>
      <c r="AJ204" s="4396"/>
      <c r="AK204" s="4396"/>
      <c r="AL204" s="4396"/>
      <c r="AM204" s="4396"/>
      <c r="AN204" s="4396"/>
      <c r="AO204" s="4393"/>
      <c r="AP204" s="4393"/>
      <c r="AQ204" s="3276"/>
    </row>
    <row r="205" spans="1:43" ht="30" x14ac:dyDescent="0.2">
      <c r="A205" s="2238"/>
      <c r="B205" s="1526"/>
      <c r="C205" s="2239"/>
      <c r="D205" s="1526"/>
      <c r="E205" s="2239"/>
      <c r="F205" s="1526"/>
      <c r="G205" s="2165"/>
      <c r="H205" s="2165"/>
      <c r="I205" s="2166"/>
      <c r="J205" s="4259">
        <v>157</v>
      </c>
      <c r="K205" s="4262" t="s">
        <v>2145</v>
      </c>
      <c r="L205" s="4265" t="s">
        <v>1861</v>
      </c>
      <c r="M205" s="4322">
        <v>12</v>
      </c>
      <c r="N205" s="4266"/>
      <c r="O205" s="4266"/>
      <c r="P205" s="4263"/>
      <c r="Q205" s="4298">
        <f>+(V205+V206+V207+V208+V209+V210+V211+V212)/R185</f>
        <v>0.20289855072463769</v>
      </c>
      <c r="R205" s="4302"/>
      <c r="S205" s="4263"/>
      <c r="T205" s="4262" t="s">
        <v>2146</v>
      </c>
      <c r="U205" s="2171" t="s">
        <v>2147</v>
      </c>
      <c r="V205" s="2258">
        <v>4800000</v>
      </c>
      <c r="W205" s="2173">
        <v>61</v>
      </c>
      <c r="X205" s="2213" t="s">
        <v>1868</v>
      </c>
      <c r="Y205" s="4396"/>
      <c r="Z205" s="4396"/>
      <c r="AA205" s="4396"/>
      <c r="AB205" s="4396"/>
      <c r="AC205" s="4396"/>
      <c r="AD205" s="4396"/>
      <c r="AE205" s="4396"/>
      <c r="AF205" s="4396"/>
      <c r="AG205" s="4396"/>
      <c r="AH205" s="4396"/>
      <c r="AI205" s="4396"/>
      <c r="AJ205" s="4396"/>
      <c r="AK205" s="4396"/>
      <c r="AL205" s="4396"/>
      <c r="AM205" s="4396"/>
      <c r="AN205" s="4396"/>
      <c r="AO205" s="4393"/>
      <c r="AP205" s="4393"/>
      <c r="AQ205" s="3276"/>
    </row>
    <row r="206" spans="1:43" ht="30" x14ac:dyDescent="0.2">
      <c r="A206" s="2238"/>
      <c r="B206" s="1526"/>
      <c r="C206" s="2239"/>
      <c r="D206" s="1526"/>
      <c r="E206" s="2239"/>
      <c r="F206" s="1526"/>
      <c r="G206" s="2165"/>
      <c r="H206" s="2165"/>
      <c r="I206" s="2166"/>
      <c r="J206" s="4260"/>
      <c r="K206" s="4263"/>
      <c r="L206" s="4266"/>
      <c r="M206" s="4322"/>
      <c r="N206" s="4266"/>
      <c r="O206" s="4266"/>
      <c r="P206" s="4263"/>
      <c r="Q206" s="4299"/>
      <c r="R206" s="4302"/>
      <c r="S206" s="4263"/>
      <c r="T206" s="4263"/>
      <c r="U206" s="2171" t="s">
        <v>2148</v>
      </c>
      <c r="V206" s="2259">
        <v>10800000</v>
      </c>
      <c r="W206" s="2173">
        <v>61</v>
      </c>
      <c r="X206" s="2213" t="s">
        <v>1868</v>
      </c>
      <c r="Y206" s="4396"/>
      <c r="Z206" s="4396"/>
      <c r="AA206" s="4396"/>
      <c r="AB206" s="4396"/>
      <c r="AC206" s="4396"/>
      <c r="AD206" s="4396"/>
      <c r="AE206" s="4396"/>
      <c r="AF206" s="4396"/>
      <c r="AG206" s="4396"/>
      <c r="AH206" s="4396"/>
      <c r="AI206" s="4396"/>
      <c r="AJ206" s="4396"/>
      <c r="AK206" s="4396"/>
      <c r="AL206" s="4396"/>
      <c r="AM206" s="4396"/>
      <c r="AN206" s="4396"/>
      <c r="AO206" s="4393"/>
      <c r="AP206" s="4393"/>
      <c r="AQ206" s="3276"/>
    </row>
    <row r="207" spans="1:43" ht="60" x14ac:dyDescent="0.2">
      <c r="A207" s="2238"/>
      <c r="B207" s="1526"/>
      <c r="C207" s="2239"/>
      <c r="D207" s="1526"/>
      <c r="E207" s="2239"/>
      <c r="F207" s="1526"/>
      <c r="G207" s="2165"/>
      <c r="H207" s="2165"/>
      <c r="I207" s="2166"/>
      <c r="J207" s="4260"/>
      <c r="K207" s="4263"/>
      <c r="L207" s="4266"/>
      <c r="M207" s="4322"/>
      <c r="N207" s="4266"/>
      <c r="O207" s="4266"/>
      <c r="P207" s="4263"/>
      <c r="Q207" s="4299"/>
      <c r="R207" s="4302"/>
      <c r="S207" s="4263"/>
      <c r="T207" s="4263"/>
      <c r="U207" s="2171" t="s">
        <v>2149</v>
      </c>
      <c r="V207" s="2259">
        <v>4800000</v>
      </c>
      <c r="W207" s="2173">
        <v>61</v>
      </c>
      <c r="X207" s="2213" t="s">
        <v>1868</v>
      </c>
      <c r="Y207" s="4396"/>
      <c r="Z207" s="4396"/>
      <c r="AA207" s="4396"/>
      <c r="AB207" s="4396"/>
      <c r="AC207" s="4396"/>
      <c r="AD207" s="4396"/>
      <c r="AE207" s="4396"/>
      <c r="AF207" s="4396"/>
      <c r="AG207" s="4396"/>
      <c r="AH207" s="4396"/>
      <c r="AI207" s="4396"/>
      <c r="AJ207" s="4396"/>
      <c r="AK207" s="4396"/>
      <c r="AL207" s="4396"/>
      <c r="AM207" s="4396"/>
      <c r="AN207" s="4396"/>
      <c r="AO207" s="4393"/>
      <c r="AP207" s="4393"/>
      <c r="AQ207" s="3276"/>
    </row>
    <row r="208" spans="1:43" ht="56.25" customHeight="1" x14ac:dyDescent="0.2">
      <c r="A208" s="2238"/>
      <c r="B208" s="1526"/>
      <c r="C208" s="2239"/>
      <c r="D208" s="1526"/>
      <c r="E208" s="2239"/>
      <c r="F208" s="1526"/>
      <c r="G208" s="2165"/>
      <c r="H208" s="2165"/>
      <c r="I208" s="2166"/>
      <c r="J208" s="4260"/>
      <c r="K208" s="4263"/>
      <c r="L208" s="4266"/>
      <c r="M208" s="4322"/>
      <c r="N208" s="4266"/>
      <c r="O208" s="4266"/>
      <c r="P208" s="4263"/>
      <c r="Q208" s="4299"/>
      <c r="R208" s="4302"/>
      <c r="S208" s="4263"/>
      <c r="T208" s="4263"/>
      <c r="U208" s="2171" t="s">
        <v>2150</v>
      </c>
      <c r="V208" s="2259">
        <v>3600000</v>
      </c>
      <c r="W208" s="2173">
        <v>61</v>
      </c>
      <c r="X208" s="2213" t="s">
        <v>1868</v>
      </c>
      <c r="Y208" s="4396"/>
      <c r="Z208" s="4396"/>
      <c r="AA208" s="4396"/>
      <c r="AB208" s="4396"/>
      <c r="AC208" s="4396"/>
      <c r="AD208" s="4396"/>
      <c r="AE208" s="4396"/>
      <c r="AF208" s="4396"/>
      <c r="AG208" s="4396"/>
      <c r="AH208" s="4396"/>
      <c r="AI208" s="4396"/>
      <c r="AJ208" s="4396"/>
      <c r="AK208" s="4396"/>
      <c r="AL208" s="4396"/>
      <c r="AM208" s="4396"/>
      <c r="AN208" s="4396"/>
      <c r="AO208" s="4393"/>
      <c r="AP208" s="4393"/>
      <c r="AQ208" s="3276"/>
    </row>
    <row r="209" spans="1:44" ht="30" x14ac:dyDescent="0.2">
      <c r="A209" s="2238"/>
      <c r="B209" s="1526"/>
      <c r="C209" s="2239"/>
      <c r="D209" s="1526"/>
      <c r="E209" s="2239"/>
      <c r="F209" s="1526"/>
      <c r="G209" s="2165"/>
      <c r="H209" s="2165"/>
      <c r="I209" s="2166"/>
      <c r="J209" s="4260"/>
      <c r="K209" s="4263"/>
      <c r="L209" s="4266"/>
      <c r="M209" s="4322"/>
      <c r="N209" s="4266"/>
      <c r="O209" s="4266"/>
      <c r="P209" s="4263"/>
      <c r="Q209" s="4299"/>
      <c r="R209" s="4302"/>
      <c r="S209" s="4263"/>
      <c r="T209" s="4263"/>
      <c r="U209" s="2171" t="s">
        <v>2151</v>
      </c>
      <c r="V209" s="2259">
        <v>6000000</v>
      </c>
      <c r="W209" s="2173">
        <v>61</v>
      </c>
      <c r="X209" s="2213" t="s">
        <v>1868</v>
      </c>
      <c r="Y209" s="4396"/>
      <c r="Z209" s="4396"/>
      <c r="AA209" s="4396"/>
      <c r="AB209" s="4396"/>
      <c r="AC209" s="4396"/>
      <c r="AD209" s="4396"/>
      <c r="AE209" s="4396"/>
      <c r="AF209" s="4396"/>
      <c r="AG209" s="4396"/>
      <c r="AH209" s="4396"/>
      <c r="AI209" s="4396"/>
      <c r="AJ209" s="4396"/>
      <c r="AK209" s="4396"/>
      <c r="AL209" s="4396"/>
      <c r="AM209" s="4396"/>
      <c r="AN209" s="4396"/>
      <c r="AO209" s="4393"/>
      <c r="AP209" s="4393"/>
      <c r="AQ209" s="3276"/>
    </row>
    <row r="210" spans="1:44" ht="30" x14ac:dyDescent="0.2">
      <c r="A210" s="2238"/>
      <c r="B210" s="1526"/>
      <c r="C210" s="2239"/>
      <c r="D210" s="1526"/>
      <c r="E210" s="2239"/>
      <c r="F210" s="1526"/>
      <c r="G210" s="2165"/>
      <c r="H210" s="2165"/>
      <c r="I210" s="2166"/>
      <c r="J210" s="4260"/>
      <c r="K210" s="4263"/>
      <c r="L210" s="4266"/>
      <c r="M210" s="4322"/>
      <c r="N210" s="4266"/>
      <c r="O210" s="4266"/>
      <c r="P210" s="4263"/>
      <c r="Q210" s="4299"/>
      <c r="R210" s="4302"/>
      <c r="S210" s="4263"/>
      <c r="T210" s="4263"/>
      <c r="U210" s="2171" t="s">
        <v>2152</v>
      </c>
      <c r="V210" s="2259">
        <v>8000000</v>
      </c>
      <c r="W210" s="2173">
        <v>61</v>
      </c>
      <c r="X210" s="2213" t="s">
        <v>1868</v>
      </c>
      <c r="Y210" s="4396"/>
      <c r="Z210" s="4396"/>
      <c r="AA210" s="4396"/>
      <c r="AB210" s="4396"/>
      <c r="AC210" s="4396"/>
      <c r="AD210" s="4396"/>
      <c r="AE210" s="4396"/>
      <c r="AF210" s="4396"/>
      <c r="AG210" s="4396"/>
      <c r="AH210" s="4396"/>
      <c r="AI210" s="4396"/>
      <c r="AJ210" s="4396"/>
      <c r="AK210" s="4396"/>
      <c r="AL210" s="4396"/>
      <c r="AM210" s="4396"/>
      <c r="AN210" s="4396"/>
      <c r="AO210" s="4393"/>
      <c r="AP210" s="4393"/>
      <c r="AQ210" s="3276"/>
    </row>
    <row r="211" spans="1:44" ht="45" x14ac:dyDescent="0.2">
      <c r="A211" s="2238"/>
      <c r="B211" s="1526"/>
      <c r="C211" s="2239"/>
      <c r="D211" s="1526"/>
      <c r="E211" s="2239"/>
      <c r="F211" s="1526"/>
      <c r="G211" s="2165"/>
      <c r="H211" s="2165"/>
      <c r="I211" s="2166"/>
      <c r="J211" s="4260"/>
      <c r="K211" s="4263"/>
      <c r="L211" s="4266"/>
      <c r="M211" s="4322"/>
      <c r="N211" s="4266"/>
      <c r="O211" s="4266"/>
      <c r="P211" s="4263"/>
      <c r="Q211" s="4299"/>
      <c r="R211" s="4302"/>
      <c r="S211" s="4263"/>
      <c r="T211" s="4263"/>
      <c r="U211" s="2171" t="s">
        <v>2153</v>
      </c>
      <c r="V211" s="2259">
        <v>12000000</v>
      </c>
      <c r="W211" s="2173">
        <v>61</v>
      </c>
      <c r="X211" s="2213" t="s">
        <v>1868</v>
      </c>
      <c r="Y211" s="4396"/>
      <c r="Z211" s="4396"/>
      <c r="AA211" s="4396"/>
      <c r="AB211" s="4396"/>
      <c r="AC211" s="4396"/>
      <c r="AD211" s="4396"/>
      <c r="AE211" s="4396"/>
      <c r="AF211" s="4396"/>
      <c r="AG211" s="4396"/>
      <c r="AH211" s="4396"/>
      <c r="AI211" s="4396"/>
      <c r="AJ211" s="4396"/>
      <c r="AK211" s="4396"/>
      <c r="AL211" s="4396"/>
      <c r="AM211" s="4396"/>
      <c r="AN211" s="4396"/>
      <c r="AO211" s="4393"/>
      <c r="AP211" s="4393"/>
      <c r="AQ211" s="3276"/>
    </row>
    <row r="212" spans="1:44" ht="80.25" customHeight="1" x14ac:dyDescent="0.2">
      <c r="A212" s="2238"/>
      <c r="B212" s="1526"/>
      <c r="C212" s="2239"/>
      <c r="D212" s="1526"/>
      <c r="E212" s="2239"/>
      <c r="F212" s="1526"/>
      <c r="G212" s="2175"/>
      <c r="H212" s="2175"/>
      <c r="I212" s="2176"/>
      <c r="J212" s="4261"/>
      <c r="K212" s="4264"/>
      <c r="L212" s="4267"/>
      <c r="M212" s="4322"/>
      <c r="N212" s="4267"/>
      <c r="O212" s="4267"/>
      <c r="P212" s="4264"/>
      <c r="Q212" s="4300"/>
      <c r="R212" s="4303"/>
      <c r="S212" s="4264"/>
      <c r="T212" s="4264"/>
      <c r="U212" s="2171" t="s">
        <v>2154</v>
      </c>
      <c r="V212" s="2259">
        <v>6000000</v>
      </c>
      <c r="W212" s="2173">
        <v>61</v>
      </c>
      <c r="X212" s="2213" t="s">
        <v>1868</v>
      </c>
      <c r="Y212" s="4397"/>
      <c r="Z212" s="4397"/>
      <c r="AA212" s="4397"/>
      <c r="AB212" s="4397"/>
      <c r="AC212" s="4397"/>
      <c r="AD212" s="4397"/>
      <c r="AE212" s="4397"/>
      <c r="AF212" s="4397"/>
      <c r="AG212" s="4397"/>
      <c r="AH212" s="4397"/>
      <c r="AI212" s="4397"/>
      <c r="AJ212" s="4397"/>
      <c r="AK212" s="4397"/>
      <c r="AL212" s="4397"/>
      <c r="AM212" s="4397"/>
      <c r="AN212" s="4397"/>
      <c r="AO212" s="4394"/>
      <c r="AP212" s="4394"/>
      <c r="AQ212" s="3277"/>
    </row>
    <row r="213" spans="1:44" ht="15" customHeight="1" x14ac:dyDescent="0.2">
      <c r="A213" s="2238"/>
      <c r="B213" s="1526"/>
      <c r="C213" s="2239"/>
      <c r="D213" s="1526"/>
      <c r="E213" s="2239"/>
      <c r="G213" s="2194">
        <v>45</v>
      </c>
      <c r="H213" s="2160" t="s">
        <v>2155</v>
      </c>
      <c r="I213" s="2160"/>
      <c r="J213" s="2160"/>
      <c r="K213" s="2195"/>
      <c r="L213" s="2160"/>
      <c r="M213" s="2196"/>
      <c r="N213" s="2160"/>
      <c r="O213" s="2160"/>
      <c r="P213" s="2160"/>
      <c r="Q213" s="2160"/>
      <c r="R213" s="2160"/>
      <c r="S213" s="2160"/>
      <c r="T213" s="2195"/>
      <c r="U213" s="2160"/>
      <c r="V213" s="2160"/>
      <c r="W213" s="2160"/>
      <c r="X213" s="2200"/>
      <c r="Y213" s="2160"/>
      <c r="Z213" s="2160"/>
      <c r="AA213" s="2160"/>
      <c r="AB213" s="2160"/>
      <c r="AC213" s="2160"/>
      <c r="AD213" s="2160"/>
      <c r="AE213" s="2160"/>
      <c r="AF213" s="2160"/>
      <c r="AG213" s="2160"/>
      <c r="AH213" s="2160"/>
      <c r="AI213" s="2160"/>
      <c r="AJ213" s="2160"/>
      <c r="AK213" s="2160"/>
      <c r="AL213" s="2160"/>
      <c r="AM213" s="2160"/>
      <c r="AN213" s="2160"/>
      <c r="AO213" s="2263"/>
      <c r="AP213" s="2263"/>
      <c r="AQ213" s="2160"/>
      <c r="AR213" s="2264"/>
    </row>
    <row r="214" spans="1:44" ht="24.75" customHeight="1" x14ac:dyDescent="0.2">
      <c r="A214" s="2238"/>
      <c r="B214" s="1526"/>
      <c r="C214" s="2239"/>
      <c r="D214" s="1526"/>
      <c r="E214" s="2239"/>
      <c r="F214" s="1526"/>
      <c r="G214" s="2169"/>
      <c r="H214" s="2169"/>
      <c r="I214" s="2170"/>
      <c r="J214" s="4259">
        <v>158</v>
      </c>
      <c r="K214" s="4262" t="s">
        <v>2156</v>
      </c>
      <c r="L214" s="4265" t="s">
        <v>1861</v>
      </c>
      <c r="M214" s="4380">
        <v>11</v>
      </c>
      <c r="N214" s="4265" t="s">
        <v>2157</v>
      </c>
      <c r="O214" s="4265" t="s">
        <v>2158</v>
      </c>
      <c r="P214" s="4262" t="s">
        <v>2159</v>
      </c>
      <c r="Q214" s="4398">
        <v>1</v>
      </c>
      <c r="R214" s="4301">
        <f>SUM(V214:V218)</f>
        <v>1222110000</v>
      </c>
      <c r="S214" s="4262" t="s">
        <v>2160</v>
      </c>
      <c r="T214" s="4262" t="s">
        <v>2161</v>
      </c>
      <c r="U214" s="2171" t="s">
        <v>2162</v>
      </c>
      <c r="V214" s="2212">
        <v>180000000</v>
      </c>
      <c r="W214" s="2173">
        <v>61</v>
      </c>
      <c r="X214" s="2213" t="s">
        <v>1868</v>
      </c>
      <c r="Y214" s="4270">
        <v>292684</v>
      </c>
      <c r="Z214" s="4270">
        <v>282326</v>
      </c>
      <c r="AA214" s="4270">
        <v>135912</v>
      </c>
      <c r="AB214" s="4270">
        <v>45122</v>
      </c>
      <c r="AC214" s="4270">
        <v>307101</v>
      </c>
      <c r="AD214" s="4270">
        <v>86875</v>
      </c>
      <c r="AE214" s="4270">
        <v>2145</v>
      </c>
      <c r="AF214" s="4270">
        <v>12718</v>
      </c>
      <c r="AG214" s="4270">
        <v>26</v>
      </c>
      <c r="AH214" s="4270">
        <v>37</v>
      </c>
      <c r="AI214" s="4270" t="s">
        <v>1869</v>
      </c>
      <c r="AJ214" s="4270" t="s">
        <v>1869</v>
      </c>
      <c r="AK214" s="4270">
        <v>53164</v>
      </c>
      <c r="AL214" s="4270">
        <v>16982</v>
      </c>
      <c r="AM214" s="4270">
        <v>60013</v>
      </c>
      <c r="AN214" s="4270">
        <v>575010</v>
      </c>
      <c r="AO214" s="4392">
        <v>43466</v>
      </c>
      <c r="AP214" s="4392">
        <v>43830</v>
      </c>
      <c r="AQ214" s="3275"/>
    </row>
    <row r="215" spans="1:44" ht="38.25" customHeight="1" x14ac:dyDescent="0.2">
      <c r="A215" s="2238"/>
      <c r="B215" s="1526"/>
      <c r="C215" s="2239"/>
      <c r="D215" s="1526"/>
      <c r="E215" s="2239"/>
      <c r="F215" s="1526"/>
      <c r="G215" s="2165"/>
      <c r="H215" s="2167"/>
      <c r="I215" s="2166"/>
      <c r="J215" s="4260"/>
      <c r="K215" s="4263"/>
      <c r="L215" s="4266"/>
      <c r="M215" s="4380"/>
      <c r="N215" s="4266"/>
      <c r="O215" s="4266"/>
      <c r="P215" s="4263"/>
      <c r="Q215" s="4399"/>
      <c r="R215" s="4302"/>
      <c r="S215" s="4263"/>
      <c r="T215" s="4263"/>
      <c r="U215" s="2171" t="s">
        <v>2163</v>
      </c>
      <c r="V215" s="2212">
        <v>20000000</v>
      </c>
      <c r="W215" s="2173">
        <v>61</v>
      </c>
      <c r="X215" s="2213" t="s">
        <v>1868</v>
      </c>
      <c r="Y215" s="4271"/>
      <c r="Z215" s="4271"/>
      <c r="AA215" s="4271"/>
      <c r="AB215" s="4271"/>
      <c r="AC215" s="4271"/>
      <c r="AD215" s="4271"/>
      <c r="AE215" s="4271"/>
      <c r="AF215" s="4271"/>
      <c r="AG215" s="4271"/>
      <c r="AH215" s="4271"/>
      <c r="AI215" s="4271"/>
      <c r="AJ215" s="4271"/>
      <c r="AK215" s="4271"/>
      <c r="AL215" s="4271"/>
      <c r="AM215" s="4271"/>
      <c r="AN215" s="4271"/>
      <c r="AO215" s="4393"/>
      <c r="AP215" s="4393"/>
      <c r="AQ215" s="3276"/>
    </row>
    <row r="216" spans="1:44" ht="41.25" customHeight="1" x14ac:dyDescent="0.2">
      <c r="A216" s="2238"/>
      <c r="B216" s="1526"/>
      <c r="C216" s="2239"/>
      <c r="D216" s="1526"/>
      <c r="E216" s="2239"/>
      <c r="F216" s="1526"/>
      <c r="G216" s="2165"/>
      <c r="H216" s="2167"/>
      <c r="I216" s="2166"/>
      <c r="J216" s="4260"/>
      <c r="K216" s="4263"/>
      <c r="L216" s="4266"/>
      <c r="M216" s="4380"/>
      <c r="N216" s="4266"/>
      <c r="O216" s="4266"/>
      <c r="P216" s="4263"/>
      <c r="Q216" s="4399"/>
      <c r="R216" s="4302"/>
      <c r="S216" s="4263"/>
      <c r="T216" s="4263"/>
      <c r="U216" s="2171" t="s">
        <v>2164</v>
      </c>
      <c r="V216" s="2212">
        <v>300000000</v>
      </c>
      <c r="W216" s="2173">
        <v>61</v>
      </c>
      <c r="X216" s="2213" t="s">
        <v>1868</v>
      </c>
      <c r="Y216" s="4271"/>
      <c r="Z216" s="4271"/>
      <c r="AA216" s="4271"/>
      <c r="AB216" s="4271"/>
      <c r="AC216" s="4271"/>
      <c r="AD216" s="4271"/>
      <c r="AE216" s="4271"/>
      <c r="AF216" s="4271"/>
      <c r="AG216" s="4271"/>
      <c r="AH216" s="4271"/>
      <c r="AI216" s="4271"/>
      <c r="AJ216" s="4271"/>
      <c r="AK216" s="4271"/>
      <c r="AL216" s="4271"/>
      <c r="AM216" s="4271"/>
      <c r="AN216" s="4271"/>
      <c r="AO216" s="4393"/>
      <c r="AP216" s="4393"/>
      <c r="AQ216" s="3276"/>
    </row>
    <row r="217" spans="1:44" ht="39.75" customHeight="1" x14ac:dyDescent="0.2">
      <c r="A217" s="2238"/>
      <c r="B217" s="1526"/>
      <c r="C217" s="2239"/>
      <c r="D217" s="1526"/>
      <c r="E217" s="2239"/>
      <c r="F217" s="1526"/>
      <c r="G217" s="2165"/>
      <c r="H217" s="2167"/>
      <c r="I217" s="2166"/>
      <c r="J217" s="4261"/>
      <c r="K217" s="4264"/>
      <c r="L217" s="4266"/>
      <c r="M217" s="4380"/>
      <c r="N217" s="4266"/>
      <c r="O217" s="4266"/>
      <c r="P217" s="4263"/>
      <c r="Q217" s="4399"/>
      <c r="R217" s="4302"/>
      <c r="S217" s="4263"/>
      <c r="T217" s="4264"/>
      <c r="U217" s="2171" t="s">
        <v>2165</v>
      </c>
      <c r="V217" s="2212">
        <v>722110000</v>
      </c>
      <c r="W217" s="2173">
        <v>61</v>
      </c>
      <c r="X217" s="2213" t="s">
        <v>1868</v>
      </c>
      <c r="Y217" s="4271"/>
      <c r="Z217" s="4271"/>
      <c r="AA217" s="4271"/>
      <c r="AB217" s="4271"/>
      <c r="AC217" s="4271"/>
      <c r="AD217" s="4271"/>
      <c r="AE217" s="4271"/>
      <c r="AF217" s="4271"/>
      <c r="AG217" s="4271"/>
      <c r="AH217" s="4271"/>
      <c r="AI217" s="4271"/>
      <c r="AJ217" s="4271"/>
      <c r="AK217" s="4271"/>
      <c r="AL217" s="4271"/>
      <c r="AM217" s="4271"/>
      <c r="AN217" s="4271"/>
      <c r="AO217" s="4393"/>
      <c r="AP217" s="4393"/>
      <c r="AQ217" s="3276"/>
    </row>
    <row r="218" spans="1:44" ht="76.5" customHeight="1" x14ac:dyDescent="0.2">
      <c r="A218" s="2238"/>
      <c r="B218" s="1526"/>
      <c r="C218" s="2239"/>
      <c r="D218" s="1526"/>
      <c r="E218" s="2239"/>
      <c r="F218" s="1526"/>
      <c r="G218" s="2175"/>
      <c r="H218" s="2175"/>
      <c r="I218" s="2176"/>
      <c r="J218" s="2265">
        <v>159</v>
      </c>
      <c r="K218" s="2220" t="s">
        <v>2166</v>
      </c>
      <c r="L218" s="2266" t="s">
        <v>1861</v>
      </c>
      <c r="M218" s="2261">
        <v>8</v>
      </c>
      <c r="N218" s="4267"/>
      <c r="O218" s="4267"/>
      <c r="P218" s="4264"/>
      <c r="Q218" s="553"/>
      <c r="R218" s="4303"/>
      <c r="S218" s="4264"/>
      <c r="T218" s="2220" t="s">
        <v>2167</v>
      </c>
      <c r="U218" s="2171" t="s">
        <v>2168</v>
      </c>
      <c r="V218" s="2212">
        <v>0</v>
      </c>
      <c r="W218" s="2173"/>
      <c r="X218" s="2213"/>
      <c r="Y218" s="4272"/>
      <c r="Z218" s="4272"/>
      <c r="AA218" s="4272"/>
      <c r="AB218" s="4272"/>
      <c r="AC218" s="4272"/>
      <c r="AD218" s="4272"/>
      <c r="AE218" s="4272"/>
      <c r="AF218" s="4272"/>
      <c r="AG218" s="4272"/>
      <c r="AH218" s="4272"/>
      <c r="AI218" s="4272"/>
      <c r="AJ218" s="4272"/>
      <c r="AK218" s="4272"/>
      <c r="AL218" s="4272"/>
      <c r="AM218" s="4272"/>
      <c r="AN218" s="4272"/>
      <c r="AO218" s="4394"/>
      <c r="AP218" s="4394"/>
      <c r="AQ218" s="3277"/>
    </row>
    <row r="219" spans="1:44" ht="15" customHeight="1" x14ac:dyDescent="0.2">
      <c r="A219" s="2238"/>
      <c r="B219" s="1526"/>
      <c r="C219" s="2239"/>
      <c r="D219" s="1526"/>
      <c r="E219" s="2239"/>
      <c r="G219" s="2194">
        <v>46</v>
      </c>
      <c r="H219" s="2160" t="s">
        <v>2169</v>
      </c>
      <c r="I219" s="2160"/>
      <c r="J219" s="2160"/>
      <c r="K219" s="2195"/>
      <c r="L219" s="2160"/>
      <c r="M219" s="2196"/>
      <c r="N219" s="2160"/>
      <c r="O219" s="2160"/>
      <c r="P219" s="2160"/>
      <c r="Q219" s="2160"/>
      <c r="R219" s="2160"/>
      <c r="S219" s="2160"/>
      <c r="T219" s="2195"/>
      <c r="U219" s="2160"/>
      <c r="V219" s="2160"/>
      <c r="W219" s="2160"/>
      <c r="X219" s="2200"/>
      <c r="Y219" s="2195"/>
      <c r="Z219" s="2195"/>
      <c r="AA219" s="2195"/>
      <c r="AB219" s="2195"/>
      <c r="AC219" s="2195"/>
      <c r="AD219" s="2195"/>
      <c r="AE219" s="2195"/>
      <c r="AF219" s="2195"/>
      <c r="AG219" s="2195"/>
      <c r="AH219" s="2195"/>
      <c r="AI219" s="2195"/>
      <c r="AJ219" s="2195"/>
      <c r="AK219" s="2195"/>
      <c r="AL219" s="2195"/>
      <c r="AM219" s="2195"/>
      <c r="AN219" s="2195"/>
      <c r="AO219" s="2267"/>
      <c r="AP219" s="2267"/>
      <c r="AQ219" s="2268"/>
    </row>
    <row r="220" spans="1:44" ht="30.75" customHeight="1" x14ac:dyDescent="0.2">
      <c r="A220" s="2238"/>
      <c r="B220" s="1526"/>
      <c r="C220" s="2239"/>
      <c r="D220" s="1526"/>
      <c r="E220" s="2239"/>
      <c r="F220" s="1526"/>
      <c r="G220" s="2169"/>
      <c r="H220" s="2169"/>
      <c r="I220" s="2170"/>
      <c r="J220" s="4291">
        <v>160</v>
      </c>
      <c r="K220" s="4262" t="s">
        <v>2170</v>
      </c>
      <c r="L220" s="4265" t="s">
        <v>1861</v>
      </c>
      <c r="M220" s="4295">
        <v>300</v>
      </c>
      <c r="N220" s="4265" t="s">
        <v>2171</v>
      </c>
      <c r="O220" s="4265" t="s">
        <v>2172</v>
      </c>
      <c r="P220" s="4262" t="s">
        <v>2173</v>
      </c>
      <c r="Q220" s="4400">
        <v>1</v>
      </c>
      <c r="R220" s="4301">
        <f>SUM(V220:V227)</f>
        <v>888000000</v>
      </c>
      <c r="S220" s="4262" t="s">
        <v>2174</v>
      </c>
      <c r="T220" s="4382" t="s">
        <v>2175</v>
      </c>
      <c r="U220" s="4403" t="s">
        <v>2176</v>
      </c>
      <c r="V220" s="2269">
        <v>238058000</v>
      </c>
      <c r="W220" s="2250">
        <v>61</v>
      </c>
      <c r="X220" s="2203" t="s">
        <v>1868</v>
      </c>
      <c r="Y220" s="4270">
        <v>292684</v>
      </c>
      <c r="Z220" s="4270">
        <v>282326</v>
      </c>
      <c r="AA220" s="4270">
        <v>135912</v>
      </c>
      <c r="AB220" s="4270">
        <v>45122</v>
      </c>
      <c r="AC220" s="4270">
        <f>SUM(AC214)</f>
        <v>307101</v>
      </c>
      <c r="AD220" s="4270">
        <f>SUM(AD214)</f>
        <v>86875</v>
      </c>
      <c r="AE220" s="4270">
        <v>2145</v>
      </c>
      <c r="AF220" s="4270">
        <v>12718</v>
      </c>
      <c r="AG220" s="4270">
        <v>26</v>
      </c>
      <c r="AH220" s="4270">
        <v>37</v>
      </c>
      <c r="AI220" s="4270" t="s">
        <v>1869</v>
      </c>
      <c r="AJ220" s="4270" t="s">
        <v>1869</v>
      </c>
      <c r="AK220" s="4270">
        <v>53164</v>
      </c>
      <c r="AL220" s="4270">
        <v>16982</v>
      </c>
      <c r="AM220" s="4270">
        <v>60013</v>
      </c>
      <c r="AN220" s="4270">
        <v>575010</v>
      </c>
      <c r="AO220" s="4406">
        <v>43466</v>
      </c>
      <c r="AP220" s="4406">
        <v>43830</v>
      </c>
      <c r="AQ220" s="3610" t="s">
        <v>1870</v>
      </c>
    </row>
    <row r="221" spans="1:44" ht="29.25" customHeight="1" x14ac:dyDescent="0.2">
      <c r="A221" s="2238"/>
      <c r="B221" s="1526"/>
      <c r="C221" s="2239"/>
      <c r="D221" s="1526"/>
      <c r="E221" s="2239"/>
      <c r="F221" s="1526"/>
      <c r="G221" s="2165"/>
      <c r="H221" s="2165"/>
      <c r="I221" s="2166"/>
      <c r="J221" s="4291"/>
      <c r="K221" s="4263"/>
      <c r="L221" s="4266"/>
      <c r="M221" s="4296"/>
      <c r="N221" s="4266"/>
      <c r="O221" s="4266"/>
      <c r="P221" s="4263"/>
      <c r="Q221" s="4401"/>
      <c r="R221" s="4302"/>
      <c r="S221" s="4263"/>
      <c r="T221" s="4383"/>
      <c r="U221" s="4404"/>
      <c r="V221" s="2269">
        <v>211942000</v>
      </c>
      <c r="W221" s="2250">
        <v>20</v>
      </c>
      <c r="X221" s="2203" t="s">
        <v>62</v>
      </c>
      <c r="Y221" s="4271"/>
      <c r="Z221" s="4271"/>
      <c r="AA221" s="4271"/>
      <c r="AB221" s="4271"/>
      <c r="AC221" s="4271"/>
      <c r="AD221" s="4271"/>
      <c r="AE221" s="4271"/>
      <c r="AF221" s="4271"/>
      <c r="AG221" s="4271"/>
      <c r="AH221" s="4271"/>
      <c r="AI221" s="4271"/>
      <c r="AJ221" s="4271"/>
      <c r="AK221" s="4271"/>
      <c r="AL221" s="4271"/>
      <c r="AM221" s="4271"/>
      <c r="AN221" s="4271"/>
      <c r="AO221" s="4407"/>
      <c r="AP221" s="4407"/>
      <c r="AQ221" s="3276"/>
    </row>
    <row r="222" spans="1:44" ht="35.25" customHeight="1" x14ac:dyDescent="0.2">
      <c r="A222" s="2238"/>
      <c r="B222" s="1526"/>
      <c r="C222" s="2239"/>
      <c r="D222" s="1526"/>
      <c r="E222" s="2239"/>
      <c r="F222" s="1526"/>
      <c r="G222" s="2165"/>
      <c r="H222" s="2165"/>
      <c r="I222" s="2166"/>
      <c r="J222" s="4291"/>
      <c r="K222" s="4263"/>
      <c r="L222" s="4266"/>
      <c r="M222" s="4296"/>
      <c r="N222" s="4266"/>
      <c r="O222" s="4266"/>
      <c r="P222" s="4263"/>
      <c r="Q222" s="4401"/>
      <c r="R222" s="4302"/>
      <c r="S222" s="4263"/>
      <c r="T222" s="4383"/>
      <c r="U222" s="2171" t="s">
        <v>2177</v>
      </c>
      <c r="V222" s="2269">
        <v>50000000</v>
      </c>
      <c r="W222" s="2173">
        <v>61</v>
      </c>
      <c r="X222" s="2203" t="s">
        <v>1868</v>
      </c>
      <c r="Y222" s="4271"/>
      <c r="Z222" s="4271"/>
      <c r="AA222" s="4271"/>
      <c r="AB222" s="4271"/>
      <c r="AC222" s="4271"/>
      <c r="AD222" s="4271"/>
      <c r="AE222" s="4271"/>
      <c r="AF222" s="4271"/>
      <c r="AG222" s="4271"/>
      <c r="AH222" s="4271"/>
      <c r="AI222" s="4271"/>
      <c r="AJ222" s="4271"/>
      <c r="AK222" s="4271"/>
      <c r="AL222" s="4271"/>
      <c r="AM222" s="4271"/>
      <c r="AN222" s="4271"/>
      <c r="AO222" s="4407"/>
      <c r="AP222" s="4407"/>
      <c r="AQ222" s="3276"/>
    </row>
    <row r="223" spans="1:44" ht="45" x14ac:dyDescent="0.2">
      <c r="A223" s="2238"/>
      <c r="B223" s="1526"/>
      <c r="C223" s="2239"/>
      <c r="D223" s="1526"/>
      <c r="E223" s="2239"/>
      <c r="F223" s="1526"/>
      <c r="G223" s="2165"/>
      <c r="H223" s="2165"/>
      <c r="I223" s="2166"/>
      <c r="J223" s="4291"/>
      <c r="K223" s="4263"/>
      <c r="L223" s="4266"/>
      <c r="M223" s="4296"/>
      <c r="N223" s="4266"/>
      <c r="O223" s="4266"/>
      <c r="P223" s="4263"/>
      <c r="Q223" s="4401"/>
      <c r="R223" s="4302"/>
      <c r="S223" s="4263"/>
      <c r="T223" s="4383"/>
      <c r="U223" s="2171" t="s">
        <v>2178</v>
      </c>
      <c r="V223" s="2269">
        <v>74900000</v>
      </c>
      <c r="W223" s="2173">
        <v>61</v>
      </c>
      <c r="X223" s="2203" t="s">
        <v>1868</v>
      </c>
      <c r="Y223" s="4271"/>
      <c r="Z223" s="4271"/>
      <c r="AA223" s="4271"/>
      <c r="AB223" s="4271"/>
      <c r="AC223" s="4271"/>
      <c r="AD223" s="4271"/>
      <c r="AE223" s="4271"/>
      <c r="AF223" s="4271"/>
      <c r="AG223" s="4271"/>
      <c r="AH223" s="4271"/>
      <c r="AI223" s="4271"/>
      <c r="AJ223" s="4271"/>
      <c r="AK223" s="4271"/>
      <c r="AL223" s="4271"/>
      <c r="AM223" s="4271"/>
      <c r="AN223" s="4271"/>
      <c r="AO223" s="4407"/>
      <c r="AP223" s="4407"/>
      <c r="AQ223" s="3276"/>
    </row>
    <row r="224" spans="1:44" ht="30" x14ac:dyDescent="0.2">
      <c r="A224" s="2238"/>
      <c r="B224" s="1526"/>
      <c r="C224" s="2239"/>
      <c r="D224" s="1526"/>
      <c r="E224" s="2239"/>
      <c r="F224" s="1526"/>
      <c r="G224" s="2165"/>
      <c r="H224" s="2165"/>
      <c r="I224" s="2166"/>
      <c r="J224" s="4291"/>
      <c r="K224" s="4263"/>
      <c r="L224" s="4266"/>
      <c r="M224" s="4296"/>
      <c r="N224" s="4266"/>
      <c r="O224" s="4266"/>
      <c r="P224" s="4263"/>
      <c r="Q224" s="4401"/>
      <c r="R224" s="4302"/>
      <c r="S224" s="4263"/>
      <c r="T224" s="4384"/>
      <c r="U224" s="2171" t="s">
        <v>2179</v>
      </c>
      <c r="V224" s="2269">
        <v>40630000</v>
      </c>
      <c r="W224" s="2173">
        <v>61</v>
      </c>
      <c r="X224" s="2203" t="s">
        <v>1868</v>
      </c>
      <c r="Y224" s="4271"/>
      <c r="Z224" s="4271"/>
      <c r="AA224" s="4271"/>
      <c r="AB224" s="4271"/>
      <c r="AC224" s="4271"/>
      <c r="AD224" s="4271"/>
      <c r="AE224" s="4271"/>
      <c r="AF224" s="4271"/>
      <c r="AG224" s="4271"/>
      <c r="AH224" s="4271"/>
      <c r="AI224" s="4271"/>
      <c r="AJ224" s="4271"/>
      <c r="AK224" s="4271"/>
      <c r="AL224" s="4271"/>
      <c r="AM224" s="4271"/>
      <c r="AN224" s="4271"/>
      <c r="AO224" s="4407"/>
      <c r="AP224" s="4407"/>
      <c r="AQ224" s="3276"/>
    </row>
    <row r="225" spans="1:43" ht="54" customHeight="1" x14ac:dyDescent="0.2">
      <c r="A225" s="2238"/>
      <c r="B225" s="1526"/>
      <c r="C225" s="2239"/>
      <c r="D225" s="1526"/>
      <c r="E225" s="2239"/>
      <c r="F225" s="1526"/>
      <c r="G225" s="2165"/>
      <c r="H225" s="2165"/>
      <c r="I225" s="2166"/>
      <c r="J225" s="4291"/>
      <c r="K225" s="4263"/>
      <c r="L225" s="4266"/>
      <c r="M225" s="4296"/>
      <c r="N225" s="4266"/>
      <c r="O225" s="4266"/>
      <c r="P225" s="4263"/>
      <c r="Q225" s="4401"/>
      <c r="R225" s="4302"/>
      <c r="S225" s="4263"/>
      <c r="T225" s="4367" t="s">
        <v>2180</v>
      </c>
      <c r="U225" s="2171" t="s">
        <v>2181</v>
      </c>
      <c r="V225" s="2269">
        <v>44000000</v>
      </c>
      <c r="W225" s="2173">
        <v>61</v>
      </c>
      <c r="X225" s="2203" t="s">
        <v>1868</v>
      </c>
      <c r="Y225" s="4271"/>
      <c r="Z225" s="4271"/>
      <c r="AA225" s="4271"/>
      <c r="AB225" s="4271"/>
      <c r="AC225" s="4271"/>
      <c r="AD225" s="4271"/>
      <c r="AE225" s="4271"/>
      <c r="AF225" s="4271"/>
      <c r="AG225" s="4271"/>
      <c r="AH225" s="4271"/>
      <c r="AI225" s="4271"/>
      <c r="AJ225" s="4271"/>
      <c r="AK225" s="4271"/>
      <c r="AL225" s="4271"/>
      <c r="AM225" s="4271"/>
      <c r="AN225" s="4271"/>
      <c r="AO225" s="4407"/>
      <c r="AP225" s="4407"/>
      <c r="AQ225" s="3276"/>
    </row>
    <row r="226" spans="1:43" ht="51" customHeight="1" x14ac:dyDescent="0.2">
      <c r="A226" s="2238"/>
      <c r="B226" s="1526"/>
      <c r="C226" s="2239"/>
      <c r="D226" s="1526"/>
      <c r="E226" s="2239"/>
      <c r="F226" s="1526"/>
      <c r="G226" s="2165"/>
      <c r="H226" s="2165"/>
      <c r="I226" s="2166"/>
      <c r="J226" s="4291"/>
      <c r="K226" s="4263"/>
      <c r="L226" s="4266"/>
      <c r="M226" s="4296"/>
      <c r="N226" s="4266"/>
      <c r="O226" s="4266"/>
      <c r="P226" s="4263"/>
      <c r="Q226" s="4401"/>
      <c r="R226" s="4302"/>
      <c r="S226" s="4263"/>
      <c r="T226" s="4369"/>
      <c r="U226" s="2171" t="s">
        <v>2182</v>
      </c>
      <c r="V226" s="2269">
        <v>140470000</v>
      </c>
      <c r="W226" s="2173">
        <v>61</v>
      </c>
      <c r="X226" s="2203" t="s">
        <v>1868</v>
      </c>
      <c r="Y226" s="4271"/>
      <c r="Z226" s="4271"/>
      <c r="AA226" s="4271"/>
      <c r="AB226" s="4271"/>
      <c r="AC226" s="4271"/>
      <c r="AD226" s="4271"/>
      <c r="AE226" s="4271"/>
      <c r="AF226" s="4271"/>
      <c r="AG226" s="4271"/>
      <c r="AH226" s="4271"/>
      <c r="AI226" s="4271"/>
      <c r="AJ226" s="4271"/>
      <c r="AK226" s="4271"/>
      <c r="AL226" s="4271"/>
      <c r="AM226" s="4271"/>
      <c r="AN226" s="4271"/>
      <c r="AO226" s="4407"/>
      <c r="AP226" s="4407"/>
      <c r="AQ226" s="3276"/>
    </row>
    <row r="227" spans="1:43" ht="88.5" customHeight="1" x14ac:dyDescent="0.2">
      <c r="A227" s="2238"/>
      <c r="B227" s="1526"/>
      <c r="C227" s="2239"/>
      <c r="D227" s="1526"/>
      <c r="E227" s="2239"/>
      <c r="F227" s="1526"/>
      <c r="G227" s="2165"/>
      <c r="H227" s="2165"/>
      <c r="I227" s="2166"/>
      <c r="J227" s="4291"/>
      <c r="K227" s="4264"/>
      <c r="L227" s="4267"/>
      <c r="M227" s="4297"/>
      <c r="N227" s="4267"/>
      <c r="O227" s="4267"/>
      <c r="P227" s="4264"/>
      <c r="Q227" s="4402"/>
      <c r="R227" s="4303"/>
      <c r="S227" s="4264"/>
      <c r="T227" s="2171" t="s">
        <v>2183</v>
      </c>
      <c r="U227" s="2171" t="s">
        <v>2184</v>
      </c>
      <c r="V227" s="2269">
        <v>88000000</v>
      </c>
      <c r="W227" s="2173">
        <v>61</v>
      </c>
      <c r="X227" s="2203" t="s">
        <v>1868</v>
      </c>
      <c r="Y227" s="4272"/>
      <c r="Z227" s="4272"/>
      <c r="AA227" s="4272"/>
      <c r="AB227" s="4272"/>
      <c r="AC227" s="4272"/>
      <c r="AD227" s="4272"/>
      <c r="AE227" s="4272"/>
      <c r="AF227" s="4272"/>
      <c r="AG227" s="4272"/>
      <c r="AH227" s="4272"/>
      <c r="AI227" s="4272"/>
      <c r="AJ227" s="4272"/>
      <c r="AK227" s="4272"/>
      <c r="AL227" s="4272"/>
      <c r="AM227" s="4272"/>
      <c r="AN227" s="4272"/>
      <c r="AO227" s="4408"/>
      <c r="AP227" s="4408"/>
      <c r="AQ227" s="3277"/>
    </row>
    <row r="228" spans="1:43" ht="45" customHeight="1" x14ac:dyDescent="0.2">
      <c r="A228" s="2238"/>
      <c r="B228" s="1526"/>
      <c r="C228" s="2239"/>
      <c r="D228" s="1526"/>
      <c r="E228" s="2239"/>
      <c r="F228" s="1526"/>
      <c r="G228" s="2165"/>
      <c r="H228" s="2165"/>
      <c r="I228" s="2166"/>
      <c r="J228" s="4259">
        <v>161</v>
      </c>
      <c r="K228" s="4262" t="s">
        <v>2185</v>
      </c>
      <c r="L228" s="4265" t="s">
        <v>1861</v>
      </c>
      <c r="M228" s="4295">
        <v>100</v>
      </c>
      <c r="N228" s="4265" t="s">
        <v>2186</v>
      </c>
      <c r="O228" s="4265" t="s">
        <v>2187</v>
      </c>
      <c r="P228" s="4262" t="s">
        <v>2188</v>
      </c>
      <c r="Q228" s="4405">
        <f>+(V228+V229+V230+V231)/R228</f>
        <v>0.23764853033145716</v>
      </c>
      <c r="R228" s="4301">
        <v>319800000</v>
      </c>
      <c r="S228" s="4262" t="s">
        <v>2189</v>
      </c>
      <c r="T228" s="4262" t="s">
        <v>2190</v>
      </c>
      <c r="U228" s="2171" t="s">
        <v>2191</v>
      </c>
      <c r="V228" s="2212">
        <v>15000000</v>
      </c>
      <c r="W228" s="2173">
        <v>61</v>
      </c>
      <c r="X228" s="2213" t="s">
        <v>1868</v>
      </c>
      <c r="Y228" s="4270">
        <v>292684</v>
      </c>
      <c r="Z228" s="4270">
        <v>282326</v>
      </c>
      <c r="AA228" s="4270">
        <v>135912</v>
      </c>
      <c r="AB228" s="4270">
        <v>45122</v>
      </c>
      <c r="AC228" s="4270">
        <v>307101</v>
      </c>
      <c r="AD228" s="4270">
        <v>86875</v>
      </c>
      <c r="AE228" s="4270">
        <v>2145</v>
      </c>
      <c r="AF228" s="4270">
        <v>12718</v>
      </c>
      <c r="AG228" s="4270">
        <v>26</v>
      </c>
      <c r="AH228" s="4270">
        <v>37</v>
      </c>
      <c r="AI228" s="4270" t="s">
        <v>1869</v>
      </c>
      <c r="AJ228" s="4270" t="s">
        <v>1869</v>
      </c>
      <c r="AK228" s="4270">
        <v>53164</v>
      </c>
      <c r="AL228" s="4270">
        <v>16982</v>
      </c>
      <c r="AM228" s="4270">
        <v>60013</v>
      </c>
      <c r="AN228" s="4270">
        <v>575010</v>
      </c>
      <c r="AO228" s="4406">
        <v>43466</v>
      </c>
      <c r="AP228" s="4406">
        <v>43830</v>
      </c>
      <c r="AQ228" s="3610" t="s">
        <v>1870</v>
      </c>
    </row>
    <row r="229" spans="1:43" ht="40.5" customHeight="1" x14ac:dyDescent="0.2">
      <c r="A229" s="2238"/>
      <c r="B229" s="1526"/>
      <c r="C229" s="2239"/>
      <c r="D229" s="1526"/>
      <c r="E229" s="2239"/>
      <c r="F229" s="1526"/>
      <c r="G229" s="2165"/>
      <c r="H229" s="2165"/>
      <c r="I229" s="2166"/>
      <c r="J229" s="4260"/>
      <c r="K229" s="4263"/>
      <c r="L229" s="4266"/>
      <c r="M229" s="4296"/>
      <c r="N229" s="4266"/>
      <c r="O229" s="4266"/>
      <c r="P229" s="4263"/>
      <c r="Q229" s="4405"/>
      <c r="R229" s="4302"/>
      <c r="S229" s="4263"/>
      <c r="T229" s="4263"/>
      <c r="U229" s="2171" t="s">
        <v>2192</v>
      </c>
      <c r="V229" s="2212">
        <v>25000000</v>
      </c>
      <c r="W229" s="2173">
        <v>61</v>
      </c>
      <c r="X229" s="2213" t="s">
        <v>1868</v>
      </c>
      <c r="Y229" s="4271"/>
      <c r="Z229" s="4271"/>
      <c r="AA229" s="4271"/>
      <c r="AB229" s="4271"/>
      <c r="AC229" s="4271">
        <v>307101</v>
      </c>
      <c r="AD229" s="4271">
        <v>86875</v>
      </c>
      <c r="AE229" s="4271"/>
      <c r="AF229" s="4271"/>
      <c r="AG229" s="4271"/>
      <c r="AH229" s="4271"/>
      <c r="AI229" s="4271"/>
      <c r="AJ229" s="4271"/>
      <c r="AK229" s="4271"/>
      <c r="AL229" s="4271"/>
      <c r="AM229" s="4271"/>
      <c r="AN229" s="4271"/>
      <c r="AO229" s="4407"/>
      <c r="AP229" s="4407"/>
      <c r="AQ229" s="3276"/>
    </row>
    <row r="230" spans="1:43" ht="60" x14ac:dyDescent="0.2">
      <c r="A230" s="2238"/>
      <c r="B230" s="1526"/>
      <c r="C230" s="2239"/>
      <c r="D230" s="1526"/>
      <c r="E230" s="2239"/>
      <c r="F230" s="1526"/>
      <c r="G230" s="2165"/>
      <c r="H230" s="2165"/>
      <c r="I230" s="2166"/>
      <c r="J230" s="4260"/>
      <c r="K230" s="4263"/>
      <c r="L230" s="4266"/>
      <c r="M230" s="4296"/>
      <c r="N230" s="4266"/>
      <c r="O230" s="4266"/>
      <c r="P230" s="4263"/>
      <c r="Q230" s="4405"/>
      <c r="R230" s="4302"/>
      <c r="S230" s="4263"/>
      <c r="T230" s="4263"/>
      <c r="U230" s="2171" t="s">
        <v>2193</v>
      </c>
      <c r="V230" s="2212">
        <v>25000000</v>
      </c>
      <c r="W230" s="2173">
        <v>61</v>
      </c>
      <c r="X230" s="2213" t="s">
        <v>1868</v>
      </c>
      <c r="Y230" s="4271"/>
      <c r="Z230" s="4271"/>
      <c r="AA230" s="4271"/>
      <c r="AB230" s="4271"/>
      <c r="AC230" s="4271">
        <v>307101</v>
      </c>
      <c r="AD230" s="4271">
        <v>86875</v>
      </c>
      <c r="AE230" s="4271"/>
      <c r="AF230" s="4271"/>
      <c r="AG230" s="4271"/>
      <c r="AH230" s="4271"/>
      <c r="AI230" s="4271"/>
      <c r="AJ230" s="4271"/>
      <c r="AK230" s="4271"/>
      <c r="AL230" s="4271"/>
      <c r="AM230" s="4271"/>
      <c r="AN230" s="4271"/>
      <c r="AO230" s="4407"/>
      <c r="AP230" s="4407"/>
      <c r="AQ230" s="3276"/>
    </row>
    <row r="231" spans="1:43" ht="51" customHeight="1" x14ac:dyDescent="0.2">
      <c r="A231" s="2238"/>
      <c r="B231" s="1526"/>
      <c r="C231" s="2239"/>
      <c r="D231" s="1526"/>
      <c r="E231" s="2239"/>
      <c r="F231" s="1526"/>
      <c r="G231" s="2165"/>
      <c r="H231" s="2165"/>
      <c r="I231" s="2166"/>
      <c r="J231" s="4261"/>
      <c r="K231" s="4264"/>
      <c r="L231" s="4267"/>
      <c r="M231" s="4297"/>
      <c r="N231" s="4266"/>
      <c r="O231" s="4266"/>
      <c r="P231" s="4263"/>
      <c r="Q231" s="4405"/>
      <c r="R231" s="4302"/>
      <c r="S231" s="4263"/>
      <c r="T231" s="4264"/>
      <c r="U231" s="2171" t="s">
        <v>2194</v>
      </c>
      <c r="V231" s="2212">
        <v>11000000</v>
      </c>
      <c r="W231" s="2173">
        <v>61</v>
      </c>
      <c r="X231" s="2213" t="s">
        <v>1868</v>
      </c>
      <c r="Y231" s="4271"/>
      <c r="Z231" s="4271"/>
      <c r="AA231" s="4271"/>
      <c r="AB231" s="4271"/>
      <c r="AC231" s="4271">
        <v>307101</v>
      </c>
      <c r="AD231" s="4271">
        <v>86875</v>
      </c>
      <c r="AE231" s="4271"/>
      <c r="AF231" s="4271"/>
      <c r="AG231" s="4271"/>
      <c r="AH231" s="4271"/>
      <c r="AI231" s="4271"/>
      <c r="AJ231" s="4271"/>
      <c r="AK231" s="4271"/>
      <c r="AL231" s="4271"/>
      <c r="AM231" s="4271"/>
      <c r="AN231" s="4271"/>
      <c r="AO231" s="4407"/>
      <c r="AP231" s="4407"/>
      <c r="AQ231" s="3276"/>
    </row>
    <row r="232" spans="1:43" ht="45" x14ac:dyDescent="0.2">
      <c r="A232" s="2238"/>
      <c r="B232" s="1526"/>
      <c r="C232" s="2239"/>
      <c r="D232" s="1526"/>
      <c r="E232" s="2239"/>
      <c r="F232" s="1526"/>
      <c r="G232" s="2165"/>
      <c r="H232" s="2165"/>
      <c r="I232" s="2166"/>
      <c r="J232" s="4291">
        <v>162</v>
      </c>
      <c r="K232" s="4262" t="s">
        <v>2195</v>
      </c>
      <c r="L232" s="4265" t="s">
        <v>1861</v>
      </c>
      <c r="M232" s="4296">
        <v>83</v>
      </c>
      <c r="N232" s="4266"/>
      <c r="O232" s="4266"/>
      <c r="P232" s="4263"/>
      <c r="Q232" s="4405">
        <f>+(V232+V233+V234+V235+V236)/R228</f>
        <v>0.76235146966854284</v>
      </c>
      <c r="R232" s="4302"/>
      <c r="S232" s="4263"/>
      <c r="T232" s="4262" t="s">
        <v>2196</v>
      </c>
      <c r="U232" s="2171" t="s">
        <v>2197</v>
      </c>
      <c r="V232" s="2212">
        <v>120000000</v>
      </c>
      <c r="W232" s="2173">
        <v>61</v>
      </c>
      <c r="X232" s="2213" t="s">
        <v>1868</v>
      </c>
      <c r="Y232" s="4271"/>
      <c r="Z232" s="4271"/>
      <c r="AA232" s="4271"/>
      <c r="AB232" s="4271"/>
      <c r="AC232" s="4271">
        <v>307101</v>
      </c>
      <c r="AD232" s="4271">
        <v>86875</v>
      </c>
      <c r="AE232" s="4271"/>
      <c r="AF232" s="4271"/>
      <c r="AG232" s="4271"/>
      <c r="AH232" s="4271"/>
      <c r="AI232" s="4271"/>
      <c r="AJ232" s="4271"/>
      <c r="AK232" s="4271"/>
      <c r="AL232" s="4271"/>
      <c r="AM232" s="4271"/>
      <c r="AN232" s="4271"/>
      <c r="AO232" s="4407"/>
      <c r="AP232" s="4407"/>
      <c r="AQ232" s="3276"/>
    </row>
    <row r="233" spans="1:43" ht="51" customHeight="1" x14ac:dyDescent="0.2">
      <c r="A233" s="2238"/>
      <c r="B233" s="1526"/>
      <c r="C233" s="2239"/>
      <c r="D233" s="1526"/>
      <c r="E233" s="2239"/>
      <c r="F233" s="1526"/>
      <c r="G233" s="2165"/>
      <c r="H233" s="2165"/>
      <c r="I233" s="2166"/>
      <c r="J233" s="4291"/>
      <c r="K233" s="4263"/>
      <c r="L233" s="4266"/>
      <c r="M233" s="4296"/>
      <c r="N233" s="4266"/>
      <c r="O233" s="4266"/>
      <c r="P233" s="4263"/>
      <c r="Q233" s="4405"/>
      <c r="R233" s="4302"/>
      <c r="S233" s="4263"/>
      <c r="T233" s="4263"/>
      <c r="U233" s="2171" t="s">
        <v>2198</v>
      </c>
      <c r="V233" s="2212">
        <v>53800000</v>
      </c>
      <c r="W233" s="2173">
        <v>61</v>
      </c>
      <c r="X233" s="2213" t="s">
        <v>1868</v>
      </c>
      <c r="Y233" s="4271"/>
      <c r="Z233" s="4271"/>
      <c r="AA233" s="4271"/>
      <c r="AB233" s="4271"/>
      <c r="AC233" s="4271">
        <v>307101</v>
      </c>
      <c r="AD233" s="4271">
        <v>86875</v>
      </c>
      <c r="AE233" s="4271"/>
      <c r="AF233" s="4271"/>
      <c r="AG233" s="4271"/>
      <c r="AH233" s="4271"/>
      <c r="AI233" s="4271"/>
      <c r="AJ233" s="4271"/>
      <c r="AK233" s="4271"/>
      <c r="AL233" s="4271"/>
      <c r="AM233" s="4271"/>
      <c r="AN233" s="4271"/>
      <c r="AO233" s="4407"/>
      <c r="AP233" s="4407"/>
      <c r="AQ233" s="3276"/>
    </row>
    <row r="234" spans="1:43" ht="58.5" customHeight="1" x14ac:dyDescent="0.2">
      <c r="A234" s="2238"/>
      <c r="B234" s="1526"/>
      <c r="C234" s="2239"/>
      <c r="D234" s="1526"/>
      <c r="E234" s="2239"/>
      <c r="F234" s="1526"/>
      <c r="G234" s="2165"/>
      <c r="H234" s="2165"/>
      <c r="I234" s="2166"/>
      <c r="J234" s="4291"/>
      <c r="K234" s="4263"/>
      <c r="L234" s="4266"/>
      <c r="M234" s="4296"/>
      <c r="N234" s="4266"/>
      <c r="O234" s="4266"/>
      <c r="P234" s="4263"/>
      <c r="Q234" s="4405"/>
      <c r="R234" s="4302"/>
      <c r="S234" s="4263"/>
      <c r="T234" s="4263"/>
      <c r="U234" s="2171" t="s">
        <v>2199</v>
      </c>
      <c r="V234" s="2212">
        <v>30000000</v>
      </c>
      <c r="W234" s="2173">
        <v>61</v>
      </c>
      <c r="X234" s="2213" t="s">
        <v>1868</v>
      </c>
      <c r="Y234" s="4271"/>
      <c r="Z234" s="4271"/>
      <c r="AA234" s="4271"/>
      <c r="AB234" s="4271"/>
      <c r="AC234" s="4271">
        <v>307101</v>
      </c>
      <c r="AD234" s="4271">
        <v>86875</v>
      </c>
      <c r="AE234" s="4271"/>
      <c r="AF234" s="4271"/>
      <c r="AG234" s="4271"/>
      <c r="AH234" s="4271"/>
      <c r="AI234" s="4271"/>
      <c r="AJ234" s="4271"/>
      <c r="AK234" s="4271"/>
      <c r="AL234" s="4271"/>
      <c r="AM234" s="4271"/>
      <c r="AN234" s="4271"/>
      <c r="AO234" s="4407"/>
      <c r="AP234" s="4407"/>
      <c r="AQ234" s="3276"/>
    </row>
    <row r="235" spans="1:43" ht="51" customHeight="1" x14ac:dyDescent="0.2">
      <c r="A235" s="2238"/>
      <c r="B235" s="1526"/>
      <c r="C235" s="2239"/>
      <c r="D235" s="1526"/>
      <c r="E235" s="2239"/>
      <c r="F235" s="1526"/>
      <c r="G235" s="2165"/>
      <c r="H235" s="2165"/>
      <c r="I235" s="2166"/>
      <c r="J235" s="4291"/>
      <c r="K235" s="4263"/>
      <c r="L235" s="4266"/>
      <c r="M235" s="4296"/>
      <c r="N235" s="4266"/>
      <c r="O235" s="4266"/>
      <c r="P235" s="4263"/>
      <c r="Q235" s="4405"/>
      <c r="R235" s="4302"/>
      <c r="S235" s="4263"/>
      <c r="T235" s="4263"/>
      <c r="U235" s="2171" t="s">
        <v>2200</v>
      </c>
      <c r="V235" s="2212">
        <v>10000000</v>
      </c>
      <c r="W235" s="2173">
        <v>61</v>
      </c>
      <c r="X235" s="2213" t="s">
        <v>1868</v>
      </c>
      <c r="Y235" s="4271"/>
      <c r="Z235" s="4271"/>
      <c r="AA235" s="4271"/>
      <c r="AB235" s="4271"/>
      <c r="AC235" s="4271">
        <v>307101</v>
      </c>
      <c r="AD235" s="4271">
        <v>86875</v>
      </c>
      <c r="AE235" s="4271"/>
      <c r="AF235" s="4271"/>
      <c r="AG235" s="4271"/>
      <c r="AH235" s="4271"/>
      <c r="AI235" s="4271"/>
      <c r="AJ235" s="4271"/>
      <c r="AK235" s="4271"/>
      <c r="AL235" s="4271"/>
      <c r="AM235" s="4271"/>
      <c r="AN235" s="4271"/>
      <c r="AO235" s="4407"/>
      <c r="AP235" s="4407"/>
      <c r="AQ235" s="3276"/>
    </row>
    <row r="236" spans="1:43" ht="60" x14ac:dyDescent="0.2">
      <c r="A236" s="2238"/>
      <c r="B236" s="1526"/>
      <c r="C236" s="2239"/>
      <c r="D236" s="2270"/>
      <c r="E236" s="2271"/>
      <c r="F236" s="1526"/>
      <c r="G236" s="2165"/>
      <c r="H236" s="2165"/>
      <c r="I236" s="2166"/>
      <c r="J236" s="4291"/>
      <c r="K236" s="4264"/>
      <c r="L236" s="4267"/>
      <c r="M236" s="4297"/>
      <c r="N236" s="4267"/>
      <c r="O236" s="4267"/>
      <c r="P236" s="4264"/>
      <c r="Q236" s="4405"/>
      <c r="R236" s="4302"/>
      <c r="S236" s="4264"/>
      <c r="T236" s="4264"/>
      <c r="U236" s="2171" t="s">
        <v>2201</v>
      </c>
      <c r="V236" s="2212">
        <v>30000000</v>
      </c>
      <c r="W236" s="2173">
        <v>61</v>
      </c>
      <c r="X236" s="2213" t="s">
        <v>1868</v>
      </c>
      <c r="Y236" s="4272"/>
      <c r="Z236" s="4272"/>
      <c r="AA236" s="4272"/>
      <c r="AB236" s="4272"/>
      <c r="AC236" s="4272">
        <v>307101</v>
      </c>
      <c r="AD236" s="4272">
        <v>86875</v>
      </c>
      <c r="AE236" s="4272"/>
      <c r="AF236" s="4272"/>
      <c r="AG236" s="4272"/>
      <c r="AH236" s="4272"/>
      <c r="AI236" s="4272"/>
      <c r="AJ236" s="4272"/>
      <c r="AK236" s="4272"/>
      <c r="AL236" s="4272"/>
      <c r="AM236" s="4272"/>
      <c r="AN236" s="4272"/>
      <c r="AO236" s="4408"/>
      <c r="AP236" s="4408"/>
      <c r="AQ236" s="3277"/>
    </row>
    <row r="237" spans="1:43" s="2151" customFormat="1" ht="15.75" x14ac:dyDescent="0.2">
      <c r="A237" s="2178"/>
      <c r="B237" s="2179"/>
      <c r="C237" s="2180"/>
      <c r="D237" s="2181">
        <v>13</v>
      </c>
      <c r="E237" s="2154" t="s">
        <v>2202</v>
      </c>
      <c r="F237" s="2154"/>
      <c r="G237" s="2154"/>
      <c r="H237" s="2154"/>
      <c r="I237" s="2154"/>
      <c r="J237" s="2272"/>
      <c r="K237" s="2273"/>
      <c r="L237" s="2272"/>
      <c r="M237" s="2274"/>
      <c r="N237" s="2272"/>
      <c r="O237" s="2273"/>
      <c r="P237" s="2272"/>
      <c r="Q237" s="2275"/>
      <c r="R237" s="2272"/>
      <c r="S237" s="2273"/>
      <c r="T237" s="2273"/>
      <c r="U237" s="2276"/>
      <c r="V237" s="2277"/>
      <c r="W237" s="2278"/>
      <c r="X237" s="2278"/>
      <c r="Y237" s="2278"/>
      <c r="Z237" s="2278"/>
      <c r="AA237" s="2278"/>
      <c r="AB237" s="2278"/>
      <c r="AC237" s="2278"/>
      <c r="AD237" s="2278"/>
      <c r="AE237" s="2278"/>
      <c r="AF237" s="2272"/>
      <c r="AG237" s="2184"/>
      <c r="AH237" s="2273"/>
      <c r="AI237" s="2273"/>
      <c r="AJ237" s="2273"/>
      <c r="AK237" s="2273"/>
      <c r="AL237" s="2273"/>
      <c r="AM237" s="2273"/>
      <c r="AN237" s="2273"/>
      <c r="AO237" s="2279"/>
      <c r="AP237" s="2279"/>
      <c r="AQ237" s="2280"/>
    </row>
    <row r="238" spans="1:43" ht="15.75" x14ac:dyDescent="0.2">
      <c r="A238" s="2238"/>
      <c r="B238" s="1526"/>
      <c r="C238" s="2239"/>
      <c r="D238" s="2281"/>
      <c r="E238" s="2282"/>
      <c r="G238" s="2194">
        <v>47</v>
      </c>
      <c r="H238" s="2283" t="s">
        <v>2203</v>
      </c>
      <c r="I238" s="2283"/>
      <c r="J238" s="2160"/>
      <c r="K238" s="2195"/>
      <c r="L238" s="2160"/>
      <c r="M238" s="2196"/>
      <c r="N238" s="2195"/>
      <c r="O238" s="2195"/>
      <c r="P238" s="2195"/>
      <c r="Q238" s="2195"/>
      <c r="R238" s="2195"/>
      <c r="S238" s="2195"/>
      <c r="T238" s="2195"/>
      <c r="U238" s="2195"/>
      <c r="V238" s="2195"/>
      <c r="W238" s="2195"/>
      <c r="X238" s="2200"/>
      <c r="Y238" s="2195"/>
      <c r="Z238" s="2195"/>
      <c r="AA238" s="2195"/>
      <c r="AB238" s="2195"/>
      <c r="AC238" s="2195"/>
      <c r="AD238" s="2195"/>
      <c r="AE238" s="2195"/>
      <c r="AF238" s="2195"/>
      <c r="AG238" s="2195"/>
      <c r="AH238" s="2195"/>
      <c r="AI238" s="2195"/>
      <c r="AJ238" s="2195"/>
      <c r="AK238" s="2195"/>
      <c r="AL238" s="2195"/>
      <c r="AM238" s="2195"/>
      <c r="AN238" s="2195"/>
      <c r="AO238" s="2267"/>
      <c r="AP238" s="2267"/>
      <c r="AQ238" s="2268"/>
    </row>
    <row r="239" spans="1:43" ht="45" customHeight="1" x14ac:dyDescent="0.2">
      <c r="A239" s="2238"/>
      <c r="B239" s="1526"/>
      <c r="C239" s="2239"/>
      <c r="D239" s="1526"/>
      <c r="E239" s="2239"/>
      <c r="G239" s="4409"/>
      <c r="H239" s="4385"/>
      <c r="I239" s="4385"/>
      <c r="J239" s="4291">
        <v>163</v>
      </c>
      <c r="K239" s="4370" t="s">
        <v>2204</v>
      </c>
      <c r="L239" s="4385" t="s">
        <v>1861</v>
      </c>
      <c r="M239" s="4385">
        <v>12</v>
      </c>
      <c r="N239" s="4370" t="s">
        <v>2205</v>
      </c>
      <c r="O239" s="4259" t="s">
        <v>2206</v>
      </c>
      <c r="P239" s="4410" t="s">
        <v>2207</v>
      </c>
      <c r="Q239" s="4413">
        <f>+(V239+V240)/R239</f>
        <v>1.4524367180229285E-3</v>
      </c>
      <c r="R239" s="4414">
        <v>21205743161</v>
      </c>
      <c r="S239" s="4262" t="s">
        <v>2208</v>
      </c>
      <c r="T239" s="4382" t="s">
        <v>2209</v>
      </c>
      <c r="U239" s="2284" t="s">
        <v>2210</v>
      </c>
      <c r="V239" s="2172">
        <v>15400000</v>
      </c>
      <c r="W239" s="2285">
        <v>20</v>
      </c>
      <c r="X239" s="2286" t="s">
        <v>2211</v>
      </c>
      <c r="Y239" s="4270">
        <v>292684</v>
      </c>
      <c r="Z239" s="4270">
        <v>282326</v>
      </c>
      <c r="AA239" s="4270">
        <v>135912</v>
      </c>
      <c r="AB239" s="4270">
        <v>45122</v>
      </c>
      <c r="AC239" s="4270">
        <v>307101</v>
      </c>
      <c r="AD239" s="4270">
        <v>86875</v>
      </c>
      <c r="AE239" s="4270">
        <v>2145</v>
      </c>
      <c r="AF239" s="4270">
        <v>12718</v>
      </c>
      <c r="AG239" s="4270">
        <v>26</v>
      </c>
      <c r="AH239" s="4270">
        <v>37</v>
      </c>
      <c r="AI239" s="4270" t="s">
        <v>1869</v>
      </c>
      <c r="AJ239" s="4270" t="s">
        <v>1869</v>
      </c>
      <c r="AK239" s="4270">
        <v>53164</v>
      </c>
      <c r="AL239" s="4270">
        <v>16982</v>
      </c>
      <c r="AM239" s="4270">
        <v>60013</v>
      </c>
      <c r="AN239" s="4270">
        <v>575010</v>
      </c>
      <c r="AO239" s="4392">
        <v>43466</v>
      </c>
      <c r="AP239" s="4392">
        <v>43830</v>
      </c>
      <c r="AQ239" s="3610" t="s">
        <v>1870</v>
      </c>
    </row>
    <row r="240" spans="1:43" ht="45" x14ac:dyDescent="0.2">
      <c r="A240" s="2238"/>
      <c r="B240" s="1526"/>
      <c r="C240" s="2239"/>
      <c r="D240" s="1526"/>
      <c r="E240" s="2239"/>
      <c r="G240" s="4409"/>
      <c r="H240" s="4385"/>
      <c r="I240" s="4385"/>
      <c r="J240" s="4291"/>
      <c r="K240" s="4372"/>
      <c r="L240" s="4385"/>
      <c r="M240" s="4385"/>
      <c r="N240" s="4372"/>
      <c r="O240" s="4260"/>
      <c r="P240" s="4411"/>
      <c r="Q240" s="4413"/>
      <c r="R240" s="4414"/>
      <c r="S240" s="4263"/>
      <c r="T240" s="4384"/>
      <c r="U240" s="2284" t="s">
        <v>2212</v>
      </c>
      <c r="V240" s="2172">
        <v>15400000</v>
      </c>
      <c r="W240" s="2285">
        <v>20</v>
      </c>
      <c r="X240" s="2286" t="s">
        <v>2211</v>
      </c>
      <c r="Y240" s="4271"/>
      <c r="Z240" s="4271"/>
      <c r="AA240" s="4271"/>
      <c r="AB240" s="4271"/>
      <c r="AC240" s="4271">
        <v>307101</v>
      </c>
      <c r="AD240" s="4271">
        <v>86875</v>
      </c>
      <c r="AE240" s="4271"/>
      <c r="AF240" s="4271"/>
      <c r="AG240" s="4271"/>
      <c r="AH240" s="4271"/>
      <c r="AI240" s="4271"/>
      <c r="AJ240" s="4271"/>
      <c r="AK240" s="4271"/>
      <c r="AL240" s="4271"/>
      <c r="AM240" s="4271"/>
      <c r="AN240" s="4271"/>
      <c r="AO240" s="4394"/>
      <c r="AP240" s="4394"/>
      <c r="AQ240" s="3277"/>
    </row>
    <row r="241" spans="1:44" ht="15.75" x14ac:dyDescent="0.2">
      <c r="A241" s="2238"/>
      <c r="B241" s="1526"/>
      <c r="C241" s="2239"/>
      <c r="D241" s="1526"/>
      <c r="E241" s="2239"/>
      <c r="G241" s="2194">
        <v>48</v>
      </c>
      <c r="H241" s="2160" t="s">
        <v>2213</v>
      </c>
      <c r="I241" s="2160"/>
      <c r="J241" s="2160"/>
      <c r="K241" s="2195"/>
      <c r="L241" s="2160"/>
      <c r="M241" s="2196"/>
      <c r="N241" s="2160"/>
      <c r="O241" s="4260"/>
      <c r="P241" s="4411"/>
      <c r="Q241" s="2160"/>
      <c r="R241" s="4414"/>
      <c r="S241" s="4263"/>
      <c r="T241" s="2195"/>
      <c r="U241" s="2160"/>
      <c r="V241" s="2160"/>
      <c r="W241" s="2160"/>
      <c r="X241" s="2200"/>
      <c r="Y241" s="4271"/>
      <c r="Z241" s="4271"/>
      <c r="AA241" s="4271"/>
      <c r="AB241" s="4271"/>
      <c r="AC241" s="4271">
        <v>307101</v>
      </c>
      <c r="AD241" s="4271">
        <v>86875</v>
      </c>
      <c r="AE241" s="4271"/>
      <c r="AF241" s="4271"/>
      <c r="AG241" s="4271"/>
      <c r="AH241" s="4271"/>
      <c r="AI241" s="4271"/>
      <c r="AJ241" s="4271"/>
      <c r="AK241" s="4271"/>
      <c r="AL241" s="4271"/>
      <c r="AM241" s="4271"/>
      <c r="AN241" s="4271"/>
      <c r="AO241" s="2263"/>
      <c r="AP241" s="2263"/>
      <c r="AQ241" s="2160"/>
      <c r="AR241" s="2264"/>
    </row>
    <row r="242" spans="1:44" ht="61.5" customHeight="1" x14ac:dyDescent="0.2">
      <c r="A242" s="2238"/>
      <c r="B242" s="1526"/>
      <c r="C242" s="2239"/>
      <c r="D242" s="1526"/>
      <c r="E242" s="2239"/>
      <c r="G242" s="4370"/>
      <c r="H242" s="4370"/>
      <c r="I242" s="4370"/>
      <c r="J242" s="4291">
        <v>164</v>
      </c>
      <c r="K242" s="4418" t="s">
        <v>2214</v>
      </c>
      <c r="L242" s="4385" t="s">
        <v>1861</v>
      </c>
      <c r="M242" s="4334">
        <v>12</v>
      </c>
      <c r="N242" s="4418" t="s">
        <v>2215</v>
      </c>
      <c r="O242" s="4260"/>
      <c r="P242" s="4411"/>
      <c r="Q242" s="4413">
        <f>+(V242+V243)/R239</f>
        <v>0.99755726551968871</v>
      </c>
      <c r="R242" s="4414"/>
      <c r="S242" s="4263"/>
      <c r="T242" s="4420" t="s">
        <v>2216</v>
      </c>
      <c r="U242" s="4420" t="s">
        <v>2217</v>
      </c>
      <c r="V242" s="2172">
        <v>21075738778</v>
      </c>
      <c r="W242" s="2287">
        <v>154</v>
      </c>
      <c r="X242" s="2286" t="s">
        <v>2218</v>
      </c>
      <c r="Y242" s="4271"/>
      <c r="Z242" s="4271"/>
      <c r="AA242" s="4271"/>
      <c r="AB242" s="4271"/>
      <c r="AC242" s="4271">
        <v>307101</v>
      </c>
      <c r="AD242" s="4271">
        <v>86875</v>
      </c>
      <c r="AE242" s="4271"/>
      <c r="AF242" s="4271"/>
      <c r="AG242" s="4271"/>
      <c r="AH242" s="4271"/>
      <c r="AI242" s="4271"/>
      <c r="AJ242" s="4271"/>
      <c r="AK242" s="4271"/>
      <c r="AL242" s="4271"/>
      <c r="AM242" s="4271"/>
      <c r="AN242" s="4271"/>
      <c r="AO242" s="2288">
        <v>43466</v>
      </c>
      <c r="AP242" s="2288">
        <v>43830</v>
      </c>
      <c r="AQ242" s="2289" t="s">
        <v>1870</v>
      </c>
    </row>
    <row r="243" spans="1:44" ht="61.5" customHeight="1" x14ac:dyDescent="0.2">
      <c r="A243" s="2238"/>
      <c r="B243" s="1526"/>
      <c r="C243" s="2239"/>
      <c r="D243" s="1526"/>
      <c r="E243" s="2239"/>
      <c r="G243" s="4372"/>
      <c r="H243" s="4372"/>
      <c r="I243" s="4372"/>
      <c r="J243" s="4291"/>
      <c r="K243" s="4419"/>
      <c r="L243" s="4385"/>
      <c r="M243" s="4334"/>
      <c r="N243" s="4419"/>
      <c r="O243" s="4260"/>
      <c r="P243" s="4411"/>
      <c r="Q243" s="4413"/>
      <c r="R243" s="4414"/>
      <c r="S243" s="4263"/>
      <c r="T243" s="4421"/>
      <c r="U243" s="4421"/>
      <c r="V243" s="2172">
        <v>78204383</v>
      </c>
      <c r="W243" s="2287">
        <v>154</v>
      </c>
      <c r="X243" s="2290" t="s">
        <v>2219</v>
      </c>
      <c r="Y243" s="4271"/>
      <c r="Z243" s="4271"/>
      <c r="AA243" s="4271"/>
      <c r="AB243" s="4271"/>
      <c r="AC243" s="4271"/>
      <c r="AD243" s="4271"/>
      <c r="AE243" s="4271"/>
      <c r="AF243" s="4271"/>
      <c r="AG243" s="4271"/>
      <c r="AH243" s="4271"/>
      <c r="AI243" s="4271"/>
      <c r="AJ243" s="4271"/>
      <c r="AK243" s="4271"/>
      <c r="AL243" s="4271"/>
      <c r="AM243" s="4271"/>
      <c r="AN243" s="4271"/>
      <c r="AO243" s="2291"/>
      <c r="AP243" s="2291"/>
      <c r="AQ243" s="2292"/>
    </row>
    <row r="244" spans="1:44" ht="15.75" x14ac:dyDescent="0.2">
      <c r="A244" s="2238"/>
      <c r="B244" s="1526"/>
      <c r="C244" s="2239"/>
      <c r="D244" s="1526"/>
      <c r="E244" s="2239"/>
      <c r="G244" s="2194">
        <v>49</v>
      </c>
      <c r="H244" s="2160" t="s">
        <v>2220</v>
      </c>
      <c r="I244" s="2160"/>
      <c r="J244" s="2160"/>
      <c r="K244" s="2195"/>
      <c r="L244" s="2160"/>
      <c r="M244" s="2196"/>
      <c r="N244" s="2160"/>
      <c r="O244" s="4260"/>
      <c r="P244" s="4411"/>
      <c r="Q244" s="2160"/>
      <c r="R244" s="4414"/>
      <c r="S244" s="4263"/>
      <c r="T244" s="2195"/>
      <c r="U244" s="2160"/>
      <c r="V244" s="2160"/>
      <c r="W244" s="2160"/>
      <c r="X244" s="2200"/>
      <c r="Y244" s="4271"/>
      <c r="Z244" s="4271"/>
      <c r="AA244" s="4271"/>
      <c r="AB244" s="4271"/>
      <c r="AC244" s="4271">
        <v>307101</v>
      </c>
      <c r="AD244" s="4271">
        <v>86875</v>
      </c>
      <c r="AE244" s="4271"/>
      <c r="AF244" s="4271"/>
      <c r="AG244" s="4271"/>
      <c r="AH244" s="4271"/>
      <c r="AI244" s="4271"/>
      <c r="AJ244" s="4271"/>
      <c r="AK244" s="4271"/>
      <c r="AL244" s="4271"/>
      <c r="AM244" s="4271"/>
      <c r="AN244" s="4271"/>
      <c r="AO244" s="2263"/>
      <c r="AP244" s="2263"/>
      <c r="AQ244" s="2219"/>
    </row>
    <row r="245" spans="1:44" ht="30" x14ac:dyDescent="0.2">
      <c r="A245" s="2238"/>
      <c r="B245" s="1526"/>
      <c r="C245" s="2239"/>
      <c r="D245" s="1526"/>
      <c r="E245" s="2239"/>
      <c r="G245" s="4409"/>
      <c r="H245" s="4385"/>
      <c r="I245" s="4385"/>
      <c r="J245" s="4291">
        <v>165</v>
      </c>
      <c r="K245" s="4417" t="s">
        <v>2221</v>
      </c>
      <c r="L245" s="4385" t="s">
        <v>1861</v>
      </c>
      <c r="M245" s="4385">
        <v>12</v>
      </c>
      <c r="N245" s="4385" t="s">
        <v>2222</v>
      </c>
      <c r="O245" s="4260"/>
      <c r="P245" s="4411"/>
      <c r="Q245" s="4413">
        <f>+(V245+V246)/R239</f>
        <v>9.9029776228836026E-4</v>
      </c>
      <c r="R245" s="4414"/>
      <c r="S245" s="4263"/>
      <c r="T245" s="4415" t="s">
        <v>2223</v>
      </c>
      <c r="U245" s="2293" t="s">
        <v>2224</v>
      </c>
      <c r="V245" s="2172">
        <v>10500000</v>
      </c>
      <c r="W245" s="2285">
        <v>20</v>
      </c>
      <c r="X245" s="2286" t="s">
        <v>2211</v>
      </c>
      <c r="Y245" s="4271"/>
      <c r="Z245" s="4271"/>
      <c r="AA245" s="4271"/>
      <c r="AB245" s="4271"/>
      <c r="AC245" s="4271">
        <v>307101</v>
      </c>
      <c r="AD245" s="4271">
        <v>86875</v>
      </c>
      <c r="AE245" s="4271"/>
      <c r="AF245" s="4271"/>
      <c r="AG245" s="4271"/>
      <c r="AH245" s="4271"/>
      <c r="AI245" s="4271"/>
      <c r="AJ245" s="4271"/>
      <c r="AK245" s="4271"/>
      <c r="AL245" s="4271"/>
      <c r="AM245" s="4271"/>
      <c r="AN245" s="4271"/>
      <c r="AO245" s="4406">
        <v>43466</v>
      </c>
      <c r="AP245" s="4406">
        <v>43830</v>
      </c>
      <c r="AQ245" s="3610" t="s">
        <v>1870</v>
      </c>
    </row>
    <row r="246" spans="1:44" ht="30" x14ac:dyDescent="0.2">
      <c r="A246" s="2238"/>
      <c r="B246" s="1526"/>
      <c r="C246" s="2239"/>
      <c r="D246" s="2270"/>
      <c r="E246" s="2271"/>
      <c r="G246" s="4409"/>
      <c r="H246" s="4385"/>
      <c r="I246" s="4385"/>
      <c r="J246" s="4291"/>
      <c r="K246" s="4417"/>
      <c r="L246" s="4385"/>
      <c r="M246" s="4385"/>
      <c r="N246" s="4385"/>
      <c r="O246" s="4261"/>
      <c r="P246" s="4412"/>
      <c r="Q246" s="4413"/>
      <c r="R246" s="4414"/>
      <c r="S246" s="4264"/>
      <c r="T246" s="4416"/>
      <c r="U246" s="2284" t="s">
        <v>2225</v>
      </c>
      <c r="V246" s="2172">
        <v>10500000</v>
      </c>
      <c r="W246" s="2285">
        <v>20</v>
      </c>
      <c r="X246" s="2286" t="s">
        <v>2211</v>
      </c>
      <c r="Y246" s="4272"/>
      <c r="Z246" s="4272"/>
      <c r="AA246" s="4272"/>
      <c r="AB246" s="4272"/>
      <c r="AC246" s="4272">
        <v>307101</v>
      </c>
      <c r="AD246" s="4272">
        <v>86875</v>
      </c>
      <c r="AE246" s="4272"/>
      <c r="AF246" s="4272"/>
      <c r="AG246" s="4272"/>
      <c r="AH246" s="4272"/>
      <c r="AI246" s="4272"/>
      <c r="AJ246" s="4272"/>
      <c r="AK246" s="4272"/>
      <c r="AL246" s="4272"/>
      <c r="AM246" s="4272"/>
      <c r="AN246" s="4272"/>
      <c r="AO246" s="4408"/>
      <c r="AP246" s="4408"/>
      <c r="AQ246" s="3277"/>
    </row>
    <row r="247" spans="1:44" ht="14.25" customHeight="1" x14ac:dyDescent="0.2">
      <c r="A247" s="2238"/>
      <c r="B247" s="1526"/>
      <c r="C247" s="2239"/>
      <c r="D247" s="2294">
        <v>14</v>
      </c>
      <c r="E247" s="2153" t="s">
        <v>2226</v>
      </c>
      <c r="F247" s="2153"/>
      <c r="G247" s="2154"/>
      <c r="H247" s="2154"/>
      <c r="I247" s="2154"/>
      <c r="J247" s="2154"/>
      <c r="K247" s="2184"/>
      <c r="L247" s="2154"/>
      <c r="M247" s="2185"/>
      <c r="N247" s="2186"/>
      <c r="O247" s="2186"/>
      <c r="P247" s="2186"/>
      <c r="Q247" s="2186"/>
      <c r="R247" s="2186"/>
      <c r="S247" s="2186"/>
      <c r="T247" s="2295"/>
      <c r="U247" s="2186"/>
      <c r="V247" s="2186"/>
      <c r="W247" s="2186"/>
      <c r="X247" s="2186"/>
      <c r="Y247" s="2186"/>
      <c r="Z247" s="2186"/>
      <c r="AA247" s="2186"/>
      <c r="AB247" s="2186"/>
      <c r="AC247" s="2186"/>
      <c r="AD247" s="2186"/>
      <c r="AE247" s="2186"/>
      <c r="AF247" s="2186"/>
      <c r="AG247" s="2186"/>
      <c r="AH247" s="2186"/>
      <c r="AI247" s="2186"/>
      <c r="AJ247" s="2186"/>
      <c r="AK247" s="2186"/>
      <c r="AL247" s="2186"/>
      <c r="AM247" s="2186"/>
      <c r="AN247" s="2186"/>
      <c r="AO247" s="2296"/>
      <c r="AP247" s="2296"/>
      <c r="AQ247" s="2186"/>
    </row>
    <row r="248" spans="1:44" ht="14.25" customHeight="1" x14ac:dyDescent="0.2">
      <c r="A248" s="2238"/>
      <c r="B248" s="1526"/>
      <c r="C248" s="2239"/>
      <c r="D248" s="2192"/>
      <c r="E248" s="2193"/>
      <c r="F248" s="2193"/>
      <c r="G248" s="2297">
        <v>50</v>
      </c>
      <c r="H248" s="2224" t="s">
        <v>2227</v>
      </c>
      <c r="I248" s="2224"/>
      <c r="J248" s="2224"/>
      <c r="K248" s="2298"/>
      <c r="L248" s="2224"/>
      <c r="M248" s="2299"/>
      <c r="N248" s="2224"/>
      <c r="O248" s="2224"/>
      <c r="P248" s="2224"/>
      <c r="Q248" s="2224"/>
      <c r="R248" s="2224"/>
      <c r="S248" s="2224"/>
      <c r="T248" s="2298"/>
      <c r="U248" s="2224"/>
      <c r="V248" s="2224"/>
      <c r="W248" s="2224"/>
      <c r="X248" s="2300"/>
      <c r="Y248" s="2224"/>
      <c r="Z248" s="2224"/>
      <c r="AA248" s="2224"/>
      <c r="AB248" s="2224"/>
      <c r="AC248" s="2224"/>
      <c r="AD248" s="2224"/>
      <c r="AE248" s="2224"/>
      <c r="AF248" s="2224"/>
      <c r="AG248" s="2224"/>
      <c r="AH248" s="2224"/>
      <c r="AI248" s="2224"/>
      <c r="AJ248" s="2224"/>
      <c r="AK248" s="2224"/>
      <c r="AL248" s="2224"/>
      <c r="AM248" s="2224"/>
      <c r="AN248" s="2224"/>
      <c r="AO248" s="2301"/>
      <c r="AP248" s="2301"/>
      <c r="AQ248" s="2224"/>
    </row>
    <row r="249" spans="1:44" ht="99.75" customHeight="1" x14ac:dyDescent="0.2">
      <c r="A249" s="2238"/>
      <c r="B249" s="1526"/>
      <c r="C249" s="2239"/>
      <c r="D249" s="2190"/>
      <c r="E249" s="2191"/>
      <c r="F249" s="2191"/>
      <c r="G249" s="2192"/>
      <c r="H249" s="2192"/>
      <c r="I249" s="2193"/>
      <c r="J249" s="2201">
        <v>166</v>
      </c>
      <c r="K249" s="2202" t="s">
        <v>2228</v>
      </c>
      <c r="L249" s="2203" t="s">
        <v>1861</v>
      </c>
      <c r="M249" s="2302">
        <v>1</v>
      </c>
      <c r="N249" s="4265" t="s">
        <v>2229</v>
      </c>
      <c r="O249" s="4422" t="s">
        <v>2230</v>
      </c>
      <c r="P249" s="4262" t="s">
        <v>2231</v>
      </c>
      <c r="Q249" s="2303">
        <v>0</v>
      </c>
      <c r="R249" s="4279">
        <v>12344412919</v>
      </c>
      <c r="S249" s="4262" t="s">
        <v>2232</v>
      </c>
      <c r="T249" s="2220" t="s">
        <v>2233</v>
      </c>
      <c r="U249" s="2304" t="s">
        <v>2234</v>
      </c>
      <c r="V249" s="2172">
        <v>0</v>
      </c>
      <c r="W249" s="2305"/>
      <c r="X249" s="2203"/>
      <c r="Y249" s="4270">
        <v>292684</v>
      </c>
      <c r="Z249" s="4270">
        <v>282326</v>
      </c>
      <c r="AA249" s="4270">
        <v>135912</v>
      </c>
      <c r="AB249" s="4270">
        <v>45122</v>
      </c>
      <c r="AC249" s="4270">
        <v>307101</v>
      </c>
      <c r="AD249" s="4270">
        <v>86875</v>
      </c>
      <c r="AE249" s="4270">
        <v>2145</v>
      </c>
      <c r="AF249" s="4270">
        <v>12718</v>
      </c>
      <c r="AG249" s="4270">
        <v>26</v>
      </c>
      <c r="AH249" s="4270">
        <v>37</v>
      </c>
      <c r="AI249" s="4270" t="s">
        <v>1869</v>
      </c>
      <c r="AJ249" s="4270" t="s">
        <v>1869</v>
      </c>
      <c r="AK249" s="4270">
        <v>53164</v>
      </c>
      <c r="AL249" s="4270">
        <v>16982</v>
      </c>
      <c r="AM249" s="4270">
        <v>60013</v>
      </c>
      <c r="AN249" s="4270">
        <v>575010</v>
      </c>
      <c r="AO249" s="4406"/>
      <c r="AP249" s="4406">
        <v>43830</v>
      </c>
      <c r="AQ249" s="3610" t="s">
        <v>1870</v>
      </c>
    </row>
    <row r="250" spans="1:44" ht="51" customHeight="1" x14ac:dyDescent="0.2">
      <c r="A250" s="2238"/>
      <c r="B250" s="1526"/>
      <c r="C250" s="2239"/>
      <c r="D250" s="2190"/>
      <c r="E250" s="2191"/>
      <c r="F250" s="2191"/>
      <c r="G250" s="2190"/>
      <c r="H250" s="2190"/>
      <c r="I250" s="2191"/>
      <c r="J250" s="4259">
        <v>167</v>
      </c>
      <c r="K250" s="4262" t="s">
        <v>2235</v>
      </c>
      <c r="L250" s="4265" t="s">
        <v>1861</v>
      </c>
      <c r="M250" s="4424">
        <v>15</v>
      </c>
      <c r="N250" s="4266"/>
      <c r="O250" s="4423"/>
      <c r="P250" s="4263"/>
      <c r="Q250" s="4298">
        <v>1</v>
      </c>
      <c r="R250" s="4280"/>
      <c r="S250" s="4263"/>
      <c r="T250" s="4262" t="s">
        <v>2236</v>
      </c>
      <c r="U250" s="4427" t="s">
        <v>2237</v>
      </c>
      <c r="V250" s="2306">
        <v>1097554095</v>
      </c>
      <c r="W250" s="2307">
        <v>110</v>
      </c>
      <c r="X250" s="2213" t="s">
        <v>2238</v>
      </c>
      <c r="Y250" s="4271"/>
      <c r="Z250" s="4271"/>
      <c r="AA250" s="4271"/>
      <c r="AB250" s="4271"/>
      <c r="AC250" s="4271">
        <v>307101</v>
      </c>
      <c r="AD250" s="4271">
        <v>86875</v>
      </c>
      <c r="AE250" s="4271"/>
      <c r="AF250" s="4271"/>
      <c r="AG250" s="4271"/>
      <c r="AH250" s="4271"/>
      <c r="AI250" s="4271"/>
      <c r="AJ250" s="4271"/>
      <c r="AK250" s="4271"/>
      <c r="AL250" s="4271"/>
      <c r="AM250" s="4271"/>
      <c r="AN250" s="4271"/>
      <c r="AO250" s="4407"/>
      <c r="AP250" s="4407"/>
      <c r="AQ250" s="3276"/>
    </row>
    <row r="251" spans="1:44" ht="36" customHeight="1" x14ac:dyDescent="0.2">
      <c r="A251" s="2238"/>
      <c r="B251" s="1526"/>
      <c r="C251" s="2239"/>
      <c r="D251" s="2190"/>
      <c r="E251" s="2191"/>
      <c r="F251" s="2191"/>
      <c r="G251" s="2190"/>
      <c r="H251" s="2190"/>
      <c r="I251" s="2191"/>
      <c r="J251" s="4260"/>
      <c r="K251" s="4263"/>
      <c r="L251" s="4266"/>
      <c r="M251" s="4425"/>
      <c r="N251" s="4266"/>
      <c r="O251" s="4423"/>
      <c r="P251" s="4263"/>
      <c r="Q251" s="4299"/>
      <c r="R251" s="4280"/>
      <c r="S251" s="4263"/>
      <c r="T251" s="4263"/>
      <c r="U251" s="4428"/>
      <c r="V251" s="2306">
        <v>3114728803</v>
      </c>
      <c r="W251" s="2307">
        <v>58</v>
      </c>
      <c r="X251" s="2213" t="s">
        <v>2239</v>
      </c>
      <c r="Y251" s="4271"/>
      <c r="Z251" s="4271"/>
      <c r="AA251" s="4271"/>
      <c r="AB251" s="4271"/>
      <c r="AC251" s="4271">
        <v>307101</v>
      </c>
      <c r="AD251" s="4271">
        <v>86875</v>
      </c>
      <c r="AE251" s="4271"/>
      <c r="AF251" s="4271"/>
      <c r="AG251" s="4271"/>
      <c r="AH251" s="4271"/>
      <c r="AI251" s="4271"/>
      <c r="AJ251" s="4271"/>
      <c r="AK251" s="4271"/>
      <c r="AL251" s="4271"/>
      <c r="AM251" s="4271"/>
      <c r="AN251" s="4271"/>
      <c r="AO251" s="4407"/>
      <c r="AP251" s="4407"/>
      <c r="AQ251" s="3276"/>
    </row>
    <row r="252" spans="1:44" ht="15.75" x14ac:dyDescent="0.2">
      <c r="A252" s="2238"/>
      <c r="B252" s="1526"/>
      <c r="C252" s="2239"/>
      <c r="D252" s="2190"/>
      <c r="E252" s="2191"/>
      <c r="F252" s="2191"/>
      <c r="G252" s="2190"/>
      <c r="H252" s="2190"/>
      <c r="I252" s="2191"/>
      <c r="J252" s="4260"/>
      <c r="K252" s="4263"/>
      <c r="L252" s="4266"/>
      <c r="M252" s="4425"/>
      <c r="N252" s="4266"/>
      <c r="O252" s="4423"/>
      <c r="P252" s="4263"/>
      <c r="Q252" s="4299"/>
      <c r="R252" s="4280"/>
      <c r="S252" s="4263"/>
      <c r="T252" s="4263"/>
      <c r="U252" s="4428"/>
      <c r="V252" s="2306">
        <v>81073317</v>
      </c>
      <c r="W252" s="2307">
        <v>58</v>
      </c>
      <c r="X252" s="2213" t="s">
        <v>2219</v>
      </c>
      <c r="Y252" s="4271"/>
      <c r="Z252" s="4271"/>
      <c r="AA252" s="4271"/>
      <c r="AB252" s="4271"/>
      <c r="AC252" s="4271"/>
      <c r="AD252" s="4271"/>
      <c r="AE252" s="4271"/>
      <c r="AF252" s="4271"/>
      <c r="AG252" s="4271"/>
      <c r="AH252" s="4271"/>
      <c r="AI252" s="4271"/>
      <c r="AJ252" s="4271"/>
      <c r="AK252" s="4271"/>
      <c r="AL252" s="4271"/>
      <c r="AM252" s="4271"/>
      <c r="AN252" s="4271"/>
      <c r="AO252" s="4407"/>
      <c r="AP252" s="4407"/>
      <c r="AQ252" s="3276"/>
    </row>
    <row r="253" spans="1:44" ht="32.25" customHeight="1" x14ac:dyDescent="0.2">
      <c r="A253" s="2238"/>
      <c r="B253" s="1526"/>
      <c r="C253" s="2239"/>
      <c r="D253" s="2190"/>
      <c r="E253" s="2191"/>
      <c r="F253" s="2191"/>
      <c r="G253" s="2190"/>
      <c r="H253" s="2190"/>
      <c r="I253" s="2191"/>
      <c r="J253" s="4260"/>
      <c r="K253" s="4263"/>
      <c r="L253" s="4266"/>
      <c r="M253" s="4425"/>
      <c r="N253" s="4266"/>
      <c r="O253" s="4423"/>
      <c r="P253" s="4263"/>
      <c r="Q253" s="4299"/>
      <c r="R253" s="4280"/>
      <c r="S253" s="4263"/>
      <c r="T253" s="4263"/>
      <c r="U253" s="4428"/>
      <c r="V253" s="2306">
        <v>4163056704</v>
      </c>
      <c r="W253" s="2307">
        <v>59</v>
      </c>
      <c r="X253" s="2213" t="s">
        <v>2240</v>
      </c>
      <c r="Y253" s="4271"/>
      <c r="Z253" s="4271"/>
      <c r="AA253" s="4271"/>
      <c r="AB253" s="4271"/>
      <c r="AC253" s="4271">
        <v>307101</v>
      </c>
      <c r="AD253" s="4271">
        <v>86875</v>
      </c>
      <c r="AE253" s="4271"/>
      <c r="AF253" s="4271"/>
      <c r="AG253" s="4271"/>
      <c r="AH253" s="4271"/>
      <c r="AI253" s="4271"/>
      <c r="AJ253" s="4271"/>
      <c r="AK253" s="4271"/>
      <c r="AL253" s="4271"/>
      <c r="AM253" s="4271"/>
      <c r="AN253" s="4271"/>
      <c r="AO253" s="4407"/>
      <c r="AP253" s="4407"/>
      <c r="AQ253" s="3276"/>
    </row>
    <row r="254" spans="1:44" ht="48" customHeight="1" x14ac:dyDescent="0.2">
      <c r="A254" s="2238"/>
      <c r="B254" s="1526"/>
      <c r="C254" s="2239"/>
      <c r="D254" s="2190"/>
      <c r="E254" s="2191"/>
      <c r="F254" s="2191"/>
      <c r="G254" s="2308"/>
      <c r="H254" s="2308"/>
      <c r="I254" s="2191"/>
      <c r="J254" s="4261"/>
      <c r="K254" s="4264"/>
      <c r="L254" s="4267"/>
      <c r="M254" s="4426"/>
      <c r="N254" s="4266"/>
      <c r="O254" s="4423"/>
      <c r="P254" s="4263"/>
      <c r="Q254" s="4300"/>
      <c r="R254" s="4280"/>
      <c r="S254" s="4263"/>
      <c r="T254" s="4264"/>
      <c r="U254" s="4429"/>
      <c r="V254" s="2306">
        <v>3888000000</v>
      </c>
      <c r="W254" s="2307">
        <v>60</v>
      </c>
      <c r="X254" s="2213" t="s">
        <v>2241</v>
      </c>
      <c r="Y254" s="4271"/>
      <c r="Z254" s="4271"/>
      <c r="AA254" s="4271"/>
      <c r="AB254" s="4271"/>
      <c r="AC254" s="4271">
        <v>307101</v>
      </c>
      <c r="AD254" s="4271">
        <v>86875</v>
      </c>
      <c r="AE254" s="4271"/>
      <c r="AF254" s="4271"/>
      <c r="AG254" s="4271"/>
      <c r="AH254" s="4271"/>
      <c r="AI254" s="4271"/>
      <c r="AJ254" s="4271"/>
      <c r="AK254" s="4271"/>
      <c r="AL254" s="4271"/>
      <c r="AM254" s="4271"/>
      <c r="AN254" s="4271"/>
      <c r="AO254" s="4407"/>
      <c r="AP254" s="4407"/>
      <c r="AQ254" s="3276"/>
    </row>
    <row r="255" spans="1:44" ht="30" x14ac:dyDescent="0.2">
      <c r="A255" s="2238"/>
      <c r="B255" s="1526"/>
      <c r="C255" s="2239"/>
      <c r="D255" s="2190"/>
      <c r="E255" s="2191"/>
      <c r="F255" s="2191"/>
      <c r="G255" s="2308"/>
      <c r="H255" s="2308"/>
      <c r="I255" s="2191"/>
      <c r="J255" s="4259">
        <v>168</v>
      </c>
      <c r="K255" s="4262" t="s">
        <v>2242</v>
      </c>
      <c r="L255" s="4265" t="s">
        <v>1861</v>
      </c>
      <c r="M255" s="4265">
        <v>14</v>
      </c>
      <c r="N255" s="4266"/>
      <c r="O255" s="4423"/>
      <c r="P255" s="4263"/>
      <c r="Q255" s="4298">
        <v>0</v>
      </c>
      <c r="R255" s="4280"/>
      <c r="S255" s="4263"/>
      <c r="T255" s="4262" t="s">
        <v>2243</v>
      </c>
      <c r="U255" s="2309" t="s">
        <v>2244</v>
      </c>
      <c r="V255" s="2310">
        <v>0</v>
      </c>
      <c r="W255" s="2311"/>
      <c r="X255" s="2213"/>
      <c r="Y255" s="4271"/>
      <c r="Z255" s="4271"/>
      <c r="AA255" s="4271"/>
      <c r="AB255" s="4271"/>
      <c r="AC255" s="4271">
        <v>307101</v>
      </c>
      <c r="AD255" s="4271">
        <v>86875</v>
      </c>
      <c r="AE255" s="4271"/>
      <c r="AF255" s="4271"/>
      <c r="AG255" s="4271"/>
      <c r="AH255" s="4271"/>
      <c r="AI255" s="4271"/>
      <c r="AJ255" s="4271"/>
      <c r="AK255" s="4271"/>
      <c r="AL255" s="4271"/>
      <c r="AM255" s="4271"/>
      <c r="AN255" s="4271"/>
      <c r="AO255" s="4407"/>
      <c r="AP255" s="4407"/>
      <c r="AQ255" s="3276"/>
    </row>
    <row r="256" spans="1:44" ht="30" x14ac:dyDescent="0.2">
      <c r="A256" s="2238"/>
      <c r="B256" s="1526"/>
      <c r="C256" s="2239"/>
      <c r="D256" s="2190"/>
      <c r="E256" s="2191"/>
      <c r="F256" s="2191"/>
      <c r="G256" s="2312"/>
      <c r="H256" s="2312"/>
      <c r="I256" s="2313"/>
      <c r="J256" s="4261"/>
      <c r="K256" s="4264"/>
      <c r="L256" s="4266"/>
      <c r="M256" s="4266"/>
      <c r="N256" s="4267"/>
      <c r="O256" s="4423"/>
      <c r="P256" s="4263"/>
      <c r="Q256" s="4300"/>
      <c r="R256" s="4280"/>
      <c r="S256" s="4263"/>
      <c r="T256" s="4264"/>
      <c r="U256" s="2314" t="s">
        <v>2245</v>
      </c>
      <c r="V256" s="2315">
        <v>0</v>
      </c>
      <c r="W256" s="2311"/>
      <c r="X256" s="2213"/>
      <c r="Y256" s="4272"/>
      <c r="Z256" s="4272"/>
      <c r="AA256" s="4272"/>
      <c r="AB256" s="4272"/>
      <c r="AC256" s="4272">
        <v>307101</v>
      </c>
      <c r="AD256" s="4272">
        <v>86875</v>
      </c>
      <c r="AE256" s="4272"/>
      <c r="AF256" s="4272"/>
      <c r="AG256" s="4272"/>
      <c r="AH256" s="4272"/>
      <c r="AI256" s="4272"/>
      <c r="AJ256" s="4272"/>
      <c r="AK256" s="4272"/>
      <c r="AL256" s="4272"/>
      <c r="AM256" s="4272"/>
      <c r="AN256" s="4272"/>
      <c r="AO256" s="4408"/>
      <c r="AP256" s="4408"/>
      <c r="AQ256" s="3277"/>
    </row>
    <row r="257" spans="1:43" ht="15.75" x14ac:dyDescent="0.2">
      <c r="A257" s="2238"/>
      <c r="B257" s="1526"/>
      <c r="C257" s="2239"/>
      <c r="D257" s="2190"/>
      <c r="E257" s="2191"/>
      <c r="F257" s="2191"/>
      <c r="G257" s="2316">
        <v>51</v>
      </c>
      <c r="H257" s="2317" t="s">
        <v>2246</v>
      </c>
      <c r="I257" s="2317"/>
      <c r="J257" s="2283"/>
      <c r="K257" s="2318"/>
      <c r="L257" s="2160"/>
      <c r="M257" s="2196"/>
      <c r="N257" s="2160"/>
      <c r="O257" s="2160"/>
      <c r="P257" s="2160"/>
      <c r="Q257" s="2160"/>
      <c r="R257" s="2160"/>
      <c r="S257" s="2160"/>
      <c r="T257" s="2195"/>
      <c r="U257" s="2195"/>
      <c r="V257" s="2195"/>
      <c r="W257" s="2199"/>
      <c r="X257" s="2200"/>
      <c r="Y257" s="2160"/>
      <c r="Z257" s="2160"/>
      <c r="AA257" s="2160"/>
      <c r="AB257" s="2160"/>
      <c r="AC257" s="2160"/>
      <c r="AD257" s="2160"/>
      <c r="AE257" s="2160"/>
      <c r="AF257" s="2160"/>
      <c r="AG257" s="2160"/>
      <c r="AH257" s="2160"/>
      <c r="AI257" s="2160"/>
      <c r="AJ257" s="2160"/>
      <c r="AK257" s="2160"/>
      <c r="AL257" s="2160"/>
      <c r="AM257" s="2160"/>
      <c r="AN257" s="2160"/>
      <c r="AO257" s="2263"/>
      <c r="AP257" s="2263"/>
      <c r="AQ257" s="2160"/>
    </row>
    <row r="258" spans="1:43" ht="45" x14ac:dyDescent="0.2">
      <c r="A258" s="2238"/>
      <c r="B258" s="1526"/>
      <c r="C258" s="2239"/>
      <c r="D258" s="2319"/>
      <c r="E258" s="2320"/>
      <c r="F258" s="2320"/>
      <c r="G258" s="2321"/>
      <c r="H258" s="2321"/>
      <c r="I258" s="2322"/>
      <c r="J258" s="4265">
        <v>169</v>
      </c>
      <c r="K258" s="4262" t="s">
        <v>2247</v>
      </c>
      <c r="L258" s="4265" t="s">
        <v>1861</v>
      </c>
      <c r="M258" s="4265">
        <v>12</v>
      </c>
      <c r="N258" s="4265" t="s">
        <v>2248</v>
      </c>
      <c r="O258" s="4265" t="s">
        <v>2249</v>
      </c>
      <c r="P258" s="4262" t="s">
        <v>2250</v>
      </c>
      <c r="Q258" s="4298">
        <v>1</v>
      </c>
      <c r="R258" s="4279">
        <v>58080000</v>
      </c>
      <c r="S258" s="4262" t="s">
        <v>2251</v>
      </c>
      <c r="T258" s="2220" t="s">
        <v>2252</v>
      </c>
      <c r="U258" s="2242" t="s">
        <v>2253</v>
      </c>
      <c r="V258" s="2172">
        <v>19360000</v>
      </c>
      <c r="W258" s="2173">
        <v>20</v>
      </c>
      <c r="X258" s="2213" t="s">
        <v>62</v>
      </c>
      <c r="Y258" s="4270">
        <v>292684</v>
      </c>
      <c r="Z258" s="4270">
        <v>282326</v>
      </c>
      <c r="AA258" s="4270">
        <v>135912</v>
      </c>
      <c r="AB258" s="4270">
        <v>45122</v>
      </c>
      <c r="AC258" s="4270">
        <v>307101</v>
      </c>
      <c r="AD258" s="4270">
        <v>86875</v>
      </c>
      <c r="AE258" s="4270">
        <v>2145</v>
      </c>
      <c r="AF258" s="4270">
        <v>12718</v>
      </c>
      <c r="AG258" s="4270">
        <v>26</v>
      </c>
      <c r="AH258" s="4270">
        <v>37</v>
      </c>
      <c r="AI258" s="4270" t="s">
        <v>1869</v>
      </c>
      <c r="AJ258" s="4270" t="s">
        <v>1869</v>
      </c>
      <c r="AK258" s="4270">
        <v>53164</v>
      </c>
      <c r="AL258" s="4270">
        <v>16982</v>
      </c>
      <c r="AM258" s="4270">
        <v>60013</v>
      </c>
      <c r="AN258" s="4270">
        <v>575010</v>
      </c>
      <c r="AO258" s="4406">
        <v>43466</v>
      </c>
      <c r="AP258" s="4406">
        <v>43830</v>
      </c>
      <c r="AQ258" s="3610" t="s">
        <v>1870</v>
      </c>
    </row>
    <row r="259" spans="1:43" ht="30" x14ac:dyDescent="0.2">
      <c r="A259" s="2238"/>
      <c r="B259" s="1526"/>
      <c r="C259" s="2239"/>
      <c r="D259" s="2319"/>
      <c r="E259" s="2320"/>
      <c r="F259" s="2320"/>
      <c r="G259" s="2323"/>
      <c r="H259" s="2323"/>
      <c r="I259" s="2320"/>
      <c r="J259" s="4266"/>
      <c r="K259" s="4263"/>
      <c r="L259" s="4266"/>
      <c r="M259" s="4266"/>
      <c r="N259" s="4266"/>
      <c r="O259" s="4266"/>
      <c r="P259" s="4263"/>
      <c r="Q259" s="4299"/>
      <c r="R259" s="4280"/>
      <c r="S259" s="4263"/>
      <c r="T259" s="2220" t="s">
        <v>2254</v>
      </c>
      <c r="U259" s="2242" t="s">
        <v>2255</v>
      </c>
      <c r="V259" s="2172">
        <v>19360000</v>
      </c>
      <c r="W259" s="2173">
        <v>20</v>
      </c>
      <c r="X259" s="2213" t="s">
        <v>62</v>
      </c>
      <c r="Y259" s="4271"/>
      <c r="Z259" s="4271"/>
      <c r="AA259" s="4271"/>
      <c r="AB259" s="4271"/>
      <c r="AC259" s="4271">
        <v>307101</v>
      </c>
      <c r="AD259" s="4271"/>
      <c r="AE259" s="4271"/>
      <c r="AF259" s="4271"/>
      <c r="AG259" s="4271"/>
      <c r="AH259" s="4271"/>
      <c r="AI259" s="4271"/>
      <c r="AJ259" s="4271"/>
      <c r="AK259" s="4271"/>
      <c r="AL259" s="4271"/>
      <c r="AM259" s="4271"/>
      <c r="AN259" s="4271"/>
      <c r="AO259" s="4407"/>
      <c r="AP259" s="4407"/>
      <c r="AQ259" s="3276"/>
    </row>
    <row r="260" spans="1:43" ht="60" x14ac:dyDescent="0.2">
      <c r="A260" s="2238"/>
      <c r="B260" s="1526"/>
      <c r="C260" s="2239"/>
      <c r="D260" s="2165"/>
      <c r="E260" s="2166"/>
      <c r="F260" s="2166"/>
      <c r="G260" s="2175"/>
      <c r="H260" s="2175"/>
      <c r="I260" s="2176"/>
      <c r="J260" s="4267"/>
      <c r="K260" s="4264"/>
      <c r="L260" s="4267"/>
      <c r="M260" s="4267"/>
      <c r="N260" s="4267"/>
      <c r="O260" s="4267"/>
      <c r="P260" s="4264"/>
      <c r="Q260" s="4300"/>
      <c r="R260" s="4281"/>
      <c r="S260" s="4264"/>
      <c r="T260" s="2220" t="s">
        <v>2242</v>
      </c>
      <c r="U260" s="2242" t="s">
        <v>2256</v>
      </c>
      <c r="V260" s="2172">
        <v>19360000</v>
      </c>
      <c r="W260" s="2173">
        <v>20</v>
      </c>
      <c r="X260" s="2213" t="s">
        <v>62</v>
      </c>
      <c r="Y260" s="4272"/>
      <c r="Z260" s="4272"/>
      <c r="AA260" s="4272"/>
      <c r="AB260" s="4272"/>
      <c r="AC260" s="4272">
        <v>307101</v>
      </c>
      <c r="AD260" s="4272"/>
      <c r="AE260" s="4272"/>
      <c r="AF260" s="4272"/>
      <c r="AG260" s="4272"/>
      <c r="AH260" s="4272"/>
      <c r="AI260" s="4272"/>
      <c r="AJ260" s="4272"/>
      <c r="AK260" s="4272"/>
      <c r="AL260" s="4272"/>
      <c r="AM260" s="4272"/>
      <c r="AN260" s="4272"/>
      <c r="AO260" s="4408"/>
      <c r="AP260" s="4408"/>
      <c r="AQ260" s="3277"/>
    </row>
    <row r="261" spans="1:43" ht="15.75" x14ac:dyDescent="0.2">
      <c r="A261" s="2238"/>
      <c r="B261" s="1526"/>
      <c r="C261" s="2239"/>
      <c r="D261" s="2190"/>
      <c r="E261" s="2191"/>
      <c r="F261" s="2191"/>
      <c r="G261" s="2218">
        <v>52</v>
      </c>
      <c r="H261" s="2160" t="s">
        <v>2257</v>
      </c>
      <c r="I261" s="2160"/>
      <c r="J261" s="2160"/>
      <c r="K261" s="2195"/>
      <c r="L261" s="2160"/>
      <c r="M261" s="2196"/>
      <c r="N261" s="2160"/>
      <c r="O261" s="2160"/>
      <c r="P261" s="2160"/>
      <c r="Q261" s="2160"/>
      <c r="R261" s="2160"/>
      <c r="S261" s="2160"/>
      <c r="T261" s="2195"/>
      <c r="U261" s="2195"/>
      <c r="V261" s="2195"/>
      <c r="W261" s="2199"/>
      <c r="X261" s="2200"/>
      <c r="Y261" s="2160"/>
      <c r="Z261" s="2160"/>
      <c r="AA261" s="2160"/>
      <c r="AB261" s="2160"/>
      <c r="AC261" s="2160"/>
      <c r="AD261" s="2160"/>
      <c r="AE261" s="2160"/>
      <c r="AF261" s="2160"/>
      <c r="AG261" s="2160"/>
      <c r="AH261" s="2160"/>
      <c r="AI261" s="2160"/>
      <c r="AJ261" s="2160"/>
      <c r="AK261" s="2160"/>
      <c r="AL261" s="2160"/>
      <c r="AM261" s="2160"/>
      <c r="AN261" s="2160"/>
      <c r="AO261" s="2263"/>
      <c r="AP261" s="2263"/>
      <c r="AQ261" s="2160"/>
    </row>
    <row r="262" spans="1:43" ht="45" customHeight="1" x14ac:dyDescent="0.2">
      <c r="A262" s="2238"/>
      <c r="B262" s="1526"/>
      <c r="C262" s="2239"/>
      <c r="D262" s="2214"/>
      <c r="E262" s="2215"/>
      <c r="F262" s="2215"/>
      <c r="G262" s="2210"/>
      <c r="H262" s="2210"/>
      <c r="I262" s="2211"/>
      <c r="J262" s="4259">
        <v>170</v>
      </c>
      <c r="K262" s="4430" t="s">
        <v>2258</v>
      </c>
      <c r="L262" s="4265" t="s">
        <v>1861</v>
      </c>
      <c r="M262" s="4265">
        <v>14</v>
      </c>
      <c r="N262" s="4265" t="s">
        <v>2259</v>
      </c>
      <c r="O262" s="4265" t="s">
        <v>2260</v>
      </c>
      <c r="P262" s="4265" t="s">
        <v>2261</v>
      </c>
      <c r="Q262" s="4298">
        <v>0.5</v>
      </c>
      <c r="R262" s="4301">
        <v>20000000</v>
      </c>
      <c r="S262" s="4262" t="s">
        <v>2262</v>
      </c>
      <c r="T262" s="4262" t="s">
        <v>2263</v>
      </c>
      <c r="U262" s="2324" t="s">
        <v>2264</v>
      </c>
      <c r="V262" s="2325">
        <v>3000000</v>
      </c>
      <c r="W262" s="2173">
        <v>20</v>
      </c>
      <c r="X262" s="2213" t="s">
        <v>62</v>
      </c>
      <c r="Y262" s="4270">
        <v>292684</v>
      </c>
      <c r="Z262" s="4270">
        <v>282326</v>
      </c>
      <c r="AA262" s="4270">
        <v>135912</v>
      </c>
      <c r="AB262" s="4270">
        <v>45122</v>
      </c>
      <c r="AC262" s="4270">
        <v>307101</v>
      </c>
      <c r="AD262" s="4270">
        <v>86875</v>
      </c>
      <c r="AE262" s="4270">
        <v>2145</v>
      </c>
      <c r="AF262" s="4270">
        <v>12718</v>
      </c>
      <c r="AG262" s="4270">
        <v>26</v>
      </c>
      <c r="AH262" s="4270">
        <v>37</v>
      </c>
      <c r="AI262" s="4270" t="s">
        <v>1869</v>
      </c>
      <c r="AJ262" s="4270" t="s">
        <v>1869</v>
      </c>
      <c r="AK262" s="4270">
        <v>53164</v>
      </c>
      <c r="AL262" s="4270">
        <v>16982</v>
      </c>
      <c r="AM262" s="4270">
        <v>60013</v>
      </c>
      <c r="AN262" s="4270">
        <v>575010</v>
      </c>
      <c r="AO262" s="4406">
        <v>43466</v>
      </c>
      <c r="AP262" s="4406">
        <v>43830</v>
      </c>
      <c r="AQ262" s="3610" t="s">
        <v>1870</v>
      </c>
    </row>
    <row r="263" spans="1:43" ht="51.75" customHeight="1" x14ac:dyDescent="0.2">
      <c r="A263" s="2238"/>
      <c r="B263" s="1526"/>
      <c r="C263" s="2239"/>
      <c r="D263" s="2214"/>
      <c r="E263" s="2215"/>
      <c r="F263" s="2215"/>
      <c r="G263" s="2326"/>
      <c r="H263" s="2326"/>
      <c r="I263" s="2215"/>
      <c r="J263" s="4260"/>
      <c r="K263" s="4431"/>
      <c r="L263" s="4266"/>
      <c r="M263" s="4266"/>
      <c r="N263" s="4266"/>
      <c r="O263" s="4266"/>
      <c r="P263" s="4266"/>
      <c r="Q263" s="4299"/>
      <c r="R263" s="4302"/>
      <c r="S263" s="4263"/>
      <c r="T263" s="4263"/>
      <c r="U263" s="2324" t="s">
        <v>2265</v>
      </c>
      <c r="V263" s="2325">
        <v>4000000</v>
      </c>
      <c r="W263" s="2173">
        <v>20</v>
      </c>
      <c r="X263" s="2213" t="s">
        <v>62</v>
      </c>
      <c r="Y263" s="4271"/>
      <c r="Z263" s="4271"/>
      <c r="AA263" s="4271"/>
      <c r="AB263" s="4271"/>
      <c r="AC263" s="4271">
        <v>307101</v>
      </c>
      <c r="AD263" s="4271"/>
      <c r="AE263" s="4271"/>
      <c r="AF263" s="4271"/>
      <c r="AG263" s="4271"/>
      <c r="AH263" s="4271"/>
      <c r="AI263" s="4271"/>
      <c r="AJ263" s="4271"/>
      <c r="AK263" s="4271"/>
      <c r="AL263" s="4271"/>
      <c r="AM263" s="4271"/>
      <c r="AN263" s="4271"/>
      <c r="AO263" s="4407"/>
      <c r="AP263" s="4407"/>
      <c r="AQ263" s="3611"/>
    </row>
    <row r="264" spans="1:43" ht="51.75" customHeight="1" x14ac:dyDescent="0.2">
      <c r="A264" s="2238"/>
      <c r="B264" s="1526"/>
      <c r="C264" s="2239"/>
      <c r="D264" s="2214"/>
      <c r="E264" s="2215"/>
      <c r="F264" s="2215"/>
      <c r="G264" s="2326"/>
      <c r="H264" s="2326"/>
      <c r="I264" s="2215"/>
      <c r="J264" s="4260"/>
      <c r="K264" s="4431"/>
      <c r="L264" s="4266"/>
      <c r="M264" s="4266"/>
      <c r="N264" s="4266"/>
      <c r="O264" s="4266"/>
      <c r="P264" s="4266"/>
      <c r="Q264" s="4300"/>
      <c r="R264" s="4302"/>
      <c r="S264" s="4263"/>
      <c r="T264" s="4264"/>
      <c r="U264" s="2324" t="s">
        <v>2266</v>
      </c>
      <c r="V264" s="2172">
        <v>3000000</v>
      </c>
      <c r="W264" s="2173">
        <v>20</v>
      </c>
      <c r="X264" s="2213" t="s">
        <v>62</v>
      </c>
      <c r="Y264" s="4271"/>
      <c r="Z264" s="4271"/>
      <c r="AA264" s="4271"/>
      <c r="AB264" s="4271"/>
      <c r="AC264" s="4271">
        <v>307101</v>
      </c>
      <c r="AD264" s="4271"/>
      <c r="AE264" s="4271"/>
      <c r="AF264" s="4271"/>
      <c r="AG264" s="4271"/>
      <c r="AH264" s="4271"/>
      <c r="AI264" s="4271"/>
      <c r="AJ264" s="4271"/>
      <c r="AK264" s="4271"/>
      <c r="AL264" s="4271"/>
      <c r="AM264" s="4271"/>
      <c r="AN264" s="4271"/>
      <c r="AO264" s="4407"/>
      <c r="AP264" s="4407"/>
      <c r="AQ264" s="3611"/>
    </row>
    <row r="265" spans="1:43" ht="49.5" customHeight="1" x14ac:dyDescent="0.2">
      <c r="A265" s="2238"/>
      <c r="B265" s="1526"/>
      <c r="C265" s="2239"/>
      <c r="D265" s="2214"/>
      <c r="E265" s="2215"/>
      <c r="F265" s="2215"/>
      <c r="G265" s="2326"/>
      <c r="H265" s="2326"/>
      <c r="I265" s="2215"/>
      <c r="J265" s="4260">
        <v>171</v>
      </c>
      <c r="K265" s="4432"/>
      <c r="L265" s="4267"/>
      <c r="M265" s="4267"/>
      <c r="N265" s="4266"/>
      <c r="O265" s="4266"/>
      <c r="P265" s="4266"/>
      <c r="Q265" s="4298">
        <v>0.5</v>
      </c>
      <c r="R265" s="4302"/>
      <c r="S265" s="4263"/>
      <c r="T265" s="4262" t="s">
        <v>2267</v>
      </c>
      <c r="U265" s="2324" t="s">
        <v>2268</v>
      </c>
      <c r="V265" s="2172">
        <v>5000000</v>
      </c>
      <c r="W265" s="2173">
        <v>20</v>
      </c>
      <c r="X265" s="2213" t="s">
        <v>62</v>
      </c>
      <c r="Y265" s="4271"/>
      <c r="Z265" s="4271"/>
      <c r="AA265" s="4271"/>
      <c r="AB265" s="4271"/>
      <c r="AC265" s="4271">
        <v>307101</v>
      </c>
      <c r="AD265" s="4271"/>
      <c r="AE265" s="4271"/>
      <c r="AF265" s="4271"/>
      <c r="AG265" s="4271"/>
      <c r="AH265" s="4271"/>
      <c r="AI265" s="4271"/>
      <c r="AJ265" s="4271"/>
      <c r="AK265" s="4271"/>
      <c r="AL265" s="4271"/>
      <c r="AM265" s="4271"/>
      <c r="AN265" s="4271"/>
      <c r="AO265" s="4407"/>
      <c r="AP265" s="4407"/>
      <c r="AQ265" s="3611"/>
    </row>
    <row r="266" spans="1:43" ht="58.5" customHeight="1" x14ac:dyDescent="0.2">
      <c r="A266" s="2238"/>
      <c r="B266" s="1526"/>
      <c r="C266" s="2239"/>
      <c r="D266" s="2214"/>
      <c r="E266" s="2215"/>
      <c r="F266" s="2215"/>
      <c r="G266" s="2326"/>
      <c r="H266" s="2326"/>
      <c r="I266" s="2215"/>
      <c r="J266" s="4261"/>
      <c r="K266" s="2327" t="s">
        <v>2269</v>
      </c>
      <c r="L266" s="2203" t="s">
        <v>1861</v>
      </c>
      <c r="M266" s="2203">
        <v>1</v>
      </c>
      <c r="N266" s="4267"/>
      <c r="O266" s="4267"/>
      <c r="P266" s="4267"/>
      <c r="Q266" s="4300"/>
      <c r="R266" s="4303"/>
      <c r="S266" s="4264"/>
      <c r="T266" s="4264"/>
      <c r="U266" s="2324" t="s">
        <v>2270</v>
      </c>
      <c r="V266" s="2172">
        <v>5000000</v>
      </c>
      <c r="W266" s="2173">
        <v>20</v>
      </c>
      <c r="X266" s="2213" t="s">
        <v>62</v>
      </c>
      <c r="Y266" s="4272"/>
      <c r="Z266" s="4272"/>
      <c r="AA266" s="4272"/>
      <c r="AB266" s="4272"/>
      <c r="AC266" s="4272">
        <v>307101</v>
      </c>
      <c r="AD266" s="4272"/>
      <c r="AE266" s="4272"/>
      <c r="AF266" s="4272"/>
      <c r="AG266" s="4272"/>
      <c r="AH266" s="4272"/>
      <c r="AI266" s="4272"/>
      <c r="AJ266" s="4272"/>
      <c r="AK266" s="4272"/>
      <c r="AL266" s="4272"/>
      <c r="AM266" s="4272"/>
      <c r="AN266" s="4272"/>
      <c r="AO266" s="4408"/>
      <c r="AP266" s="4408"/>
      <c r="AQ266" s="3612"/>
    </row>
    <row r="267" spans="1:43" ht="42.75" customHeight="1" x14ac:dyDescent="0.2">
      <c r="A267" s="2238"/>
      <c r="B267" s="1526"/>
      <c r="C267" s="2239"/>
      <c r="D267" s="2214"/>
      <c r="E267" s="2215"/>
      <c r="F267" s="2215"/>
      <c r="G267" s="2326"/>
      <c r="H267" s="2326"/>
      <c r="I267" s="2215"/>
      <c r="J267" s="4259">
        <v>172</v>
      </c>
      <c r="K267" s="4262" t="s">
        <v>2271</v>
      </c>
      <c r="L267" s="4265" t="s">
        <v>1861</v>
      </c>
      <c r="M267" s="4265">
        <v>12</v>
      </c>
      <c r="N267" s="4265" t="s">
        <v>2272</v>
      </c>
      <c r="O267" s="4265" t="s">
        <v>2273</v>
      </c>
      <c r="P267" s="4262" t="s">
        <v>2274</v>
      </c>
      <c r="Q267" s="4298">
        <v>1</v>
      </c>
      <c r="R267" s="4301">
        <v>160441641</v>
      </c>
      <c r="S267" s="4262" t="s">
        <v>2275</v>
      </c>
      <c r="T267" s="4262" t="s">
        <v>2276</v>
      </c>
      <c r="U267" s="2328" t="s">
        <v>2277</v>
      </c>
      <c r="V267" s="2172">
        <v>100000000</v>
      </c>
      <c r="W267" s="2173">
        <v>20</v>
      </c>
      <c r="X267" s="2213" t="s">
        <v>62</v>
      </c>
      <c r="Y267" s="4270">
        <v>292684</v>
      </c>
      <c r="Z267" s="4270">
        <v>282326</v>
      </c>
      <c r="AA267" s="4270">
        <v>135912</v>
      </c>
      <c r="AB267" s="4270">
        <v>45122</v>
      </c>
      <c r="AC267" s="4270">
        <v>307101</v>
      </c>
      <c r="AD267" s="4270">
        <v>86875</v>
      </c>
      <c r="AE267" s="4270">
        <v>2145</v>
      </c>
      <c r="AF267" s="4270">
        <v>12718</v>
      </c>
      <c r="AG267" s="4270">
        <v>26</v>
      </c>
      <c r="AH267" s="4270">
        <v>37</v>
      </c>
      <c r="AI267" s="4270" t="s">
        <v>1869</v>
      </c>
      <c r="AJ267" s="4270" t="s">
        <v>1869</v>
      </c>
      <c r="AK267" s="4270">
        <v>53164</v>
      </c>
      <c r="AL267" s="4270">
        <v>16982</v>
      </c>
      <c r="AM267" s="4270">
        <v>60013</v>
      </c>
      <c r="AN267" s="4270">
        <v>575010</v>
      </c>
      <c r="AO267" s="4406">
        <v>43466</v>
      </c>
      <c r="AP267" s="4406">
        <v>43830</v>
      </c>
      <c r="AQ267" s="3610" t="s">
        <v>1870</v>
      </c>
    </row>
    <row r="268" spans="1:43" ht="42" customHeight="1" x14ac:dyDescent="0.2">
      <c r="A268" s="2238"/>
      <c r="B268" s="1526"/>
      <c r="C268" s="2239"/>
      <c r="D268" s="2214"/>
      <c r="E268" s="2215"/>
      <c r="F268" s="2215"/>
      <c r="G268" s="2326"/>
      <c r="H268" s="2326"/>
      <c r="I268" s="2215"/>
      <c r="J268" s="4260"/>
      <c r="K268" s="4263"/>
      <c r="L268" s="4266"/>
      <c r="M268" s="4266"/>
      <c r="N268" s="4266"/>
      <c r="O268" s="4266"/>
      <c r="P268" s="4263"/>
      <c r="Q268" s="4299"/>
      <c r="R268" s="4302"/>
      <c r="S268" s="4263"/>
      <c r="T268" s="4263"/>
      <c r="U268" s="2328" t="s">
        <v>2278</v>
      </c>
      <c r="V268" s="2172">
        <v>10000000</v>
      </c>
      <c r="W268" s="2173">
        <v>20</v>
      </c>
      <c r="X268" s="2213" t="s">
        <v>62</v>
      </c>
      <c r="Y268" s="4271"/>
      <c r="Z268" s="4271"/>
      <c r="AA268" s="4271"/>
      <c r="AB268" s="4271"/>
      <c r="AC268" s="4271">
        <v>307101</v>
      </c>
      <c r="AD268" s="4271"/>
      <c r="AE268" s="4271"/>
      <c r="AF268" s="4271"/>
      <c r="AG268" s="4271"/>
      <c r="AH268" s="4271"/>
      <c r="AI268" s="4271"/>
      <c r="AJ268" s="4271"/>
      <c r="AK268" s="4271"/>
      <c r="AL268" s="4271"/>
      <c r="AM268" s="4271"/>
      <c r="AN268" s="4271"/>
      <c r="AO268" s="4407"/>
      <c r="AP268" s="4407"/>
      <c r="AQ268" s="3276"/>
    </row>
    <row r="269" spans="1:43" ht="71.25" customHeight="1" x14ac:dyDescent="0.2">
      <c r="A269" s="2238"/>
      <c r="B269" s="1526"/>
      <c r="C269" s="2239"/>
      <c r="D269" s="2214"/>
      <c r="E269" s="2215"/>
      <c r="F269" s="2215"/>
      <c r="G269" s="2326"/>
      <c r="H269" s="2326"/>
      <c r="I269" s="2215"/>
      <c r="J269" s="4260"/>
      <c r="K269" s="4263"/>
      <c r="L269" s="4266"/>
      <c r="M269" s="4266"/>
      <c r="N269" s="4266"/>
      <c r="O269" s="4266"/>
      <c r="P269" s="4263"/>
      <c r="Q269" s="4299"/>
      <c r="R269" s="4302"/>
      <c r="S269" s="4263"/>
      <c r="T269" s="4263"/>
      <c r="U269" s="2328" t="s">
        <v>2279</v>
      </c>
      <c r="V269" s="2172">
        <v>15441641</v>
      </c>
      <c r="W269" s="2173">
        <v>20</v>
      </c>
      <c r="X269" s="2213" t="s">
        <v>62</v>
      </c>
      <c r="Y269" s="4271"/>
      <c r="Z269" s="4271"/>
      <c r="AA269" s="4271"/>
      <c r="AB269" s="4271"/>
      <c r="AC269" s="4271">
        <v>307101</v>
      </c>
      <c r="AD269" s="4271"/>
      <c r="AE269" s="4271"/>
      <c r="AF269" s="4271"/>
      <c r="AG269" s="4271"/>
      <c r="AH269" s="4271"/>
      <c r="AI269" s="4271"/>
      <c r="AJ269" s="4271"/>
      <c r="AK269" s="4271"/>
      <c r="AL269" s="4271"/>
      <c r="AM269" s="4271"/>
      <c r="AN269" s="4271"/>
      <c r="AO269" s="4407"/>
      <c r="AP269" s="4407"/>
      <c r="AQ269" s="3276"/>
    </row>
    <row r="270" spans="1:43" ht="45.75" customHeight="1" x14ac:dyDescent="0.2">
      <c r="A270" s="2238"/>
      <c r="B270" s="1526"/>
      <c r="C270" s="2239"/>
      <c r="D270" s="2214"/>
      <c r="E270" s="2215"/>
      <c r="F270" s="2215"/>
      <c r="G270" s="2326"/>
      <c r="H270" s="2326"/>
      <c r="I270" s="2215"/>
      <c r="J270" s="4260"/>
      <c r="K270" s="4263"/>
      <c r="L270" s="4266"/>
      <c r="M270" s="4266"/>
      <c r="N270" s="4266"/>
      <c r="O270" s="4266"/>
      <c r="P270" s="4263"/>
      <c r="Q270" s="4299"/>
      <c r="R270" s="4302"/>
      <c r="S270" s="4263"/>
      <c r="T270" s="4263"/>
      <c r="U270" s="2328" t="s">
        <v>2280</v>
      </c>
      <c r="V270" s="2172">
        <v>10000000</v>
      </c>
      <c r="W270" s="2173">
        <v>20</v>
      </c>
      <c r="X270" s="2213" t="s">
        <v>62</v>
      </c>
      <c r="Y270" s="4271"/>
      <c r="Z270" s="4271"/>
      <c r="AA270" s="4271"/>
      <c r="AB270" s="4271"/>
      <c r="AC270" s="4271">
        <v>307101</v>
      </c>
      <c r="AD270" s="4271"/>
      <c r="AE270" s="4271"/>
      <c r="AF270" s="4271"/>
      <c r="AG270" s="4271"/>
      <c r="AH270" s="4271"/>
      <c r="AI270" s="4271"/>
      <c r="AJ270" s="4271"/>
      <c r="AK270" s="4271"/>
      <c r="AL270" s="4271"/>
      <c r="AM270" s="4271"/>
      <c r="AN270" s="4271"/>
      <c r="AO270" s="4407"/>
      <c r="AP270" s="4407"/>
      <c r="AQ270" s="3276"/>
    </row>
    <row r="271" spans="1:43" ht="39.75" customHeight="1" x14ac:dyDescent="0.2">
      <c r="A271" s="2238"/>
      <c r="B271" s="1526"/>
      <c r="C271" s="2239"/>
      <c r="D271" s="2214"/>
      <c r="E271" s="2215"/>
      <c r="F271" s="2215"/>
      <c r="G271" s="2326"/>
      <c r="H271" s="2326"/>
      <c r="I271" s="2215"/>
      <c r="J271" s="4260"/>
      <c r="K271" s="4263"/>
      <c r="L271" s="4266"/>
      <c r="M271" s="4266"/>
      <c r="N271" s="4266"/>
      <c r="O271" s="4266"/>
      <c r="P271" s="4263"/>
      <c r="Q271" s="4299"/>
      <c r="R271" s="4302"/>
      <c r="S271" s="4263"/>
      <c r="T271" s="4264"/>
      <c r="U271" s="2328" t="s">
        <v>2281</v>
      </c>
      <c r="V271" s="2172">
        <v>10000000</v>
      </c>
      <c r="W271" s="2173">
        <v>20</v>
      </c>
      <c r="X271" s="2213" t="s">
        <v>62</v>
      </c>
      <c r="Y271" s="4271"/>
      <c r="Z271" s="4271"/>
      <c r="AA271" s="4271"/>
      <c r="AB271" s="4271"/>
      <c r="AC271" s="4271">
        <v>307101</v>
      </c>
      <c r="AD271" s="4271"/>
      <c r="AE271" s="4271"/>
      <c r="AF271" s="4271"/>
      <c r="AG271" s="4271"/>
      <c r="AH271" s="4271"/>
      <c r="AI271" s="4271"/>
      <c r="AJ271" s="4271"/>
      <c r="AK271" s="4271"/>
      <c r="AL271" s="4271"/>
      <c r="AM271" s="4271"/>
      <c r="AN271" s="4271"/>
      <c r="AO271" s="4407"/>
      <c r="AP271" s="4407"/>
      <c r="AQ271" s="3276"/>
    </row>
    <row r="272" spans="1:43" ht="57.75" customHeight="1" x14ac:dyDescent="0.2">
      <c r="A272" s="2238"/>
      <c r="B272" s="1526"/>
      <c r="C272" s="2239"/>
      <c r="D272" s="2214"/>
      <c r="E272" s="2215"/>
      <c r="F272" s="2215"/>
      <c r="G272" s="2216"/>
      <c r="H272" s="2216"/>
      <c r="I272" s="2217"/>
      <c r="J272" s="4261"/>
      <c r="K272" s="4264"/>
      <c r="L272" s="4267"/>
      <c r="M272" s="4267"/>
      <c r="N272" s="4267"/>
      <c r="O272" s="4267"/>
      <c r="P272" s="4264"/>
      <c r="Q272" s="4300"/>
      <c r="R272" s="4303"/>
      <c r="S272" s="4264"/>
      <c r="T272" s="2220" t="s">
        <v>2282</v>
      </c>
      <c r="U272" s="2329" t="s">
        <v>2283</v>
      </c>
      <c r="V272" s="2172">
        <v>15000000</v>
      </c>
      <c r="W272" s="2173">
        <v>20</v>
      </c>
      <c r="X272" s="2213" t="s">
        <v>62</v>
      </c>
      <c r="Y272" s="4272"/>
      <c r="Z272" s="4272"/>
      <c r="AA272" s="4272"/>
      <c r="AB272" s="4272"/>
      <c r="AC272" s="4272">
        <v>307101</v>
      </c>
      <c r="AD272" s="4272"/>
      <c r="AE272" s="4272"/>
      <c r="AF272" s="4272"/>
      <c r="AG272" s="4272"/>
      <c r="AH272" s="4272"/>
      <c r="AI272" s="4272"/>
      <c r="AJ272" s="4272"/>
      <c r="AK272" s="4272"/>
      <c r="AL272" s="4272"/>
      <c r="AM272" s="4272"/>
      <c r="AN272" s="4272"/>
      <c r="AO272" s="4408"/>
      <c r="AP272" s="4408"/>
      <c r="AQ272" s="3277"/>
    </row>
    <row r="273" spans="1:43" ht="15.75" x14ac:dyDescent="0.2">
      <c r="A273" s="2238"/>
      <c r="B273" s="1526"/>
      <c r="C273" s="2239"/>
      <c r="D273" s="2190"/>
      <c r="E273" s="2191"/>
      <c r="F273" s="2191"/>
      <c r="G273" s="2218">
        <v>53</v>
      </c>
      <c r="H273" s="2160" t="s">
        <v>2284</v>
      </c>
      <c r="I273" s="2160"/>
      <c r="J273" s="2160"/>
      <c r="K273" s="2195"/>
      <c r="L273" s="2160"/>
      <c r="M273" s="2196"/>
      <c r="N273" s="2160"/>
      <c r="O273" s="2160"/>
      <c r="P273" s="2160"/>
      <c r="Q273" s="2160"/>
      <c r="R273" s="2160"/>
      <c r="S273" s="2160"/>
      <c r="T273" s="2195"/>
      <c r="U273" s="2195"/>
      <c r="V273" s="2195"/>
      <c r="W273" s="2199"/>
      <c r="X273" s="2200"/>
      <c r="Y273" s="2160"/>
      <c r="Z273" s="2160"/>
      <c r="AA273" s="2160"/>
      <c r="AB273" s="2160"/>
      <c r="AC273" s="2160"/>
      <c r="AD273" s="2160"/>
      <c r="AE273" s="2160"/>
      <c r="AF273" s="2160"/>
      <c r="AG273" s="2160"/>
      <c r="AH273" s="2160"/>
      <c r="AI273" s="2160"/>
      <c r="AJ273" s="2160"/>
      <c r="AK273" s="2160"/>
      <c r="AL273" s="2160"/>
      <c r="AM273" s="2160"/>
      <c r="AN273" s="2160"/>
      <c r="AO273" s="2263"/>
      <c r="AP273" s="2263"/>
      <c r="AQ273" s="2160"/>
    </row>
    <row r="274" spans="1:43" ht="60" customHeight="1" x14ac:dyDescent="0.2">
      <c r="A274" s="2238"/>
      <c r="B274" s="1526"/>
      <c r="C274" s="2239"/>
      <c r="D274" s="2165"/>
      <c r="E274" s="2166"/>
      <c r="F274" s="2166"/>
      <c r="G274" s="2169"/>
      <c r="H274" s="2169"/>
      <c r="I274" s="2170"/>
      <c r="J274" s="4259">
        <v>173</v>
      </c>
      <c r="K274" s="4262" t="s">
        <v>2285</v>
      </c>
      <c r="L274" s="4265" t="s">
        <v>1861</v>
      </c>
      <c r="M274" s="4422">
        <v>7</v>
      </c>
      <c r="N274" s="4265" t="s">
        <v>2286</v>
      </c>
      <c r="O274" s="4265" t="s">
        <v>2287</v>
      </c>
      <c r="P274" s="4262" t="s">
        <v>2288</v>
      </c>
      <c r="Q274" s="3933">
        <f>SUM(V274:V280)/R274</f>
        <v>0.38271604938271603</v>
      </c>
      <c r="R274" s="4301">
        <v>48600000</v>
      </c>
      <c r="S274" s="4262" t="s">
        <v>2289</v>
      </c>
      <c r="T274" s="4262" t="s">
        <v>2290</v>
      </c>
      <c r="U274" s="2330" t="s">
        <v>2291</v>
      </c>
      <c r="V274" s="2258">
        <v>2000000</v>
      </c>
      <c r="W274" s="2173">
        <v>20</v>
      </c>
      <c r="X274" s="2213" t="s">
        <v>62</v>
      </c>
      <c r="Y274" s="4270">
        <v>292684</v>
      </c>
      <c r="Z274" s="4270">
        <v>282326</v>
      </c>
      <c r="AA274" s="4270">
        <v>135912</v>
      </c>
      <c r="AB274" s="4270">
        <v>45122</v>
      </c>
      <c r="AC274" s="4270">
        <v>307101</v>
      </c>
      <c r="AD274" s="4270">
        <v>86875</v>
      </c>
      <c r="AE274" s="4270">
        <v>2145</v>
      </c>
      <c r="AF274" s="4270">
        <v>12718</v>
      </c>
      <c r="AG274" s="4270">
        <v>26</v>
      </c>
      <c r="AH274" s="4270">
        <v>37</v>
      </c>
      <c r="AI274" s="4270" t="s">
        <v>1869</v>
      </c>
      <c r="AJ274" s="4270" t="s">
        <v>1869</v>
      </c>
      <c r="AK274" s="4270">
        <v>53164</v>
      </c>
      <c r="AL274" s="4270">
        <v>16982</v>
      </c>
      <c r="AM274" s="4270">
        <v>60013</v>
      </c>
      <c r="AN274" s="4270">
        <v>575010</v>
      </c>
      <c r="AO274" s="4406">
        <v>43466</v>
      </c>
      <c r="AP274" s="4406">
        <v>43830</v>
      </c>
      <c r="AQ274" s="3610" t="s">
        <v>1870</v>
      </c>
    </row>
    <row r="275" spans="1:43" ht="45" customHeight="1" x14ac:dyDescent="0.2">
      <c r="A275" s="2238"/>
      <c r="B275" s="1526"/>
      <c r="C275" s="2239"/>
      <c r="D275" s="2165"/>
      <c r="E275" s="2166"/>
      <c r="F275" s="2166"/>
      <c r="G275" s="2167"/>
      <c r="H275" s="2167"/>
      <c r="I275" s="2166"/>
      <c r="J275" s="4260"/>
      <c r="K275" s="4263"/>
      <c r="L275" s="4266"/>
      <c r="M275" s="4423"/>
      <c r="N275" s="4266"/>
      <c r="O275" s="4266"/>
      <c r="P275" s="4263"/>
      <c r="Q275" s="3933"/>
      <c r="R275" s="4302"/>
      <c r="S275" s="4263"/>
      <c r="T275" s="4263"/>
      <c r="U275" s="2330" t="s">
        <v>2292</v>
      </c>
      <c r="V275" s="2258">
        <v>2000000</v>
      </c>
      <c r="W275" s="2173">
        <v>20</v>
      </c>
      <c r="X275" s="2213" t="s">
        <v>62</v>
      </c>
      <c r="Y275" s="4271"/>
      <c r="Z275" s="4271"/>
      <c r="AA275" s="4271"/>
      <c r="AB275" s="4271"/>
      <c r="AC275" s="4271">
        <v>307101</v>
      </c>
      <c r="AD275" s="4271">
        <v>86875</v>
      </c>
      <c r="AE275" s="4271"/>
      <c r="AF275" s="4271"/>
      <c r="AG275" s="4271"/>
      <c r="AH275" s="4271"/>
      <c r="AI275" s="4271"/>
      <c r="AJ275" s="4271"/>
      <c r="AK275" s="4271"/>
      <c r="AL275" s="4271"/>
      <c r="AM275" s="4271"/>
      <c r="AN275" s="4271"/>
      <c r="AO275" s="4407"/>
      <c r="AP275" s="4407"/>
      <c r="AQ275" s="3276"/>
    </row>
    <row r="276" spans="1:43" ht="45" x14ac:dyDescent="0.2">
      <c r="A276" s="2238"/>
      <c r="B276" s="1526"/>
      <c r="C276" s="2239"/>
      <c r="D276" s="2165"/>
      <c r="E276" s="2166"/>
      <c r="F276" s="2166"/>
      <c r="G276" s="2167"/>
      <c r="H276" s="2167"/>
      <c r="I276" s="2166"/>
      <c r="J276" s="4260"/>
      <c r="K276" s="4263"/>
      <c r="L276" s="4266"/>
      <c r="M276" s="4423"/>
      <c r="N276" s="4266"/>
      <c r="O276" s="4266"/>
      <c r="P276" s="4263"/>
      <c r="Q276" s="3933"/>
      <c r="R276" s="4302"/>
      <c r="S276" s="4263"/>
      <c r="T276" s="4264"/>
      <c r="U276" s="2330" t="s">
        <v>2293</v>
      </c>
      <c r="V276" s="2258">
        <v>2000000</v>
      </c>
      <c r="W276" s="2173">
        <v>20</v>
      </c>
      <c r="X276" s="2213" t="s">
        <v>62</v>
      </c>
      <c r="Y276" s="4271"/>
      <c r="Z276" s="4271"/>
      <c r="AA276" s="4271"/>
      <c r="AB276" s="4271"/>
      <c r="AC276" s="4271">
        <v>307101</v>
      </c>
      <c r="AD276" s="4271">
        <v>86875</v>
      </c>
      <c r="AE276" s="4271"/>
      <c r="AF276" s="4271"/>
      <c r="AG276" s="4271"/>
      <c r="AH276" s="4271"/>
      <c r="AI276" s="4271"/>
      <c r="AJ276" s="4271"/>
      <c r="AK276" s="4271"/>
      <c r="AL276" s="4271"/>
      <c r="AM276" s="4271"/>
      <c r="AN276" s="4271"/>
      <c r="AO276" s="4407"/>
      <c r="AP276" s="4407"/>
      <c r="AQ276" s="3276"/>
    </row>
    <row r="277" spans="1:43" ht="30" x14ac:dyDescent="0.2">
      <c r="A277" s="2238"/>
      <c r="B277" s="1526"/>
      <c r="C277" s="2239"/>
      <c r="D277" s="2165"/>
      <c r="E277" s="2166"/>
      <c r="F277" s="2166"/>
      <c r="G277" s="2167"/>
      <c r="H277" s="2167"/>
      <c r="I277" s="2166"/>
      <c r="J277" s="4260"/>
      <c r="K277" s="4263"/>
      <c r="L277" s="4266"/>
      <c r="M277" s="4423"/>
      <c r="N277" s="4266"/>
      <c r="O277" s="4266"/>
      <c r="P277" s="4263"/>
      <c r="Q277" s="3933"/>
      <c r="R277" s="4302"/>
      <c r="S277" s="4263"/>
      <c r="T277" s="2202" t="s">
        <v>2294</v>
      </c>
      <c r="U277" s="2330" t="s">
        <v>2295</v>
      </c>
      <c r="V277" s="2258">
        <v>5000000</v>
      </c>
      <c r="W277" s="2173">
        <v>20</v>
      </c>
      <c r="X277" s="2213" t="s">
        <v>62</v>
      </c>
      <c r="Y277" s="4271"/>
      <c r="Z277" s="4271"/>
      <c r="AA277" s="4271"/>
      <c r="AB277" s="4271"/>
      <c r="AC277" s="4271">
        <v>307101</v>
      </c>
      <c r="AD277" s="4271">
        <v>86875</v>
      </c>
      <c r="AE277" s="4271"/>
      <c r="AF277" s="4271"/>
      <c r="AG277" s="4271"/>
      <c r="AH277" s="4271"/>
      <c r="AI277" s="4271"/>
      <c r="AJ277" s="4271"/>
      <c r="AK277" s="4271"/>
      <c r="AL277" s="4271"/>
      <c r="AM277" s="4271"/>
      <c r="AN277" s="4271"/>
      <c r="AO277" s="4407"/>
      <c r="AP277" s="4407"/>
      <c r="AQ277" s="3276"/>
    </row>
    <row r="278" spans="1:43" ht="45" customHeight="1" x14ac:dyDescent="0.2">
      <c r="A278" s="2238"/>
      <c r="B278" s="1526"/>
      <c r="C278" s="2239"/>
      <c r="D278" s="2165"/>
      <c r="E278" s="2166"/>
      <c r="F278" s="2166"/>
      <c r="G278" s="2167"/>
      <c r="H278" s="2167"/>
      <c r="I278" s="2166"/>
      <c r="J278" s="4260"/>
      <c r="K278" s="4263"/>
      <c r="L278" s="4266"/>
      <c r="M278" s="4423"/>
      <c r="N278" s="4266"/>
      <c r="O278" s="4266"/>
      <c r="P278" s="4263"/>
      <c r="Q278" s="3933"/>
      <c r="R278" s="4302"/>
      <c r="S278" s="4263"/>
      <c r="T278" s="4262" t="s">
        <v>2296</v>
      </c>
      <c r="U278" s="2330" t="s">
        <v>2297</v>
      </c>
      <c r="V278" s="2258">
        <v>3000000</v>
      </c>
      <c r="W278" s="2173">
        <v>20</v>
      </c>
      <c r="X278" s="2213" t="s">
        <v>62</v>
      </c>
      <c r="Y278" s="4271"/>
      <c r="Z278" s="4271"/>
      <c r="AA278" s="4271"/>
      <c r="AB278" s="4271"/>
      <c r="AC278" s="4271">
        <v>307101</v>
      </c>
      <c r="AD278" s="4271">
        <v>86875</v>
      </c>
      <c r="AE278" s="4271"/>
      <c r="AF278" s="4271"/>
      <c r="AG278" s="4271"/>
      <c r="AH278" s="4271"/>
      <c r="AI278" s="4271"/>
      <c r="AJ278" s="4271"/>
      <c r="AK278" s="4271"/>
      <c r="AL278" s="4271"/>
      <c r="AM278" s="4271"/>
      <c r="AN278" s="4271"/>
      <c r="AO278" s="4407"/>
      <c r="AP278" s="4407"/>
      <c r="AQ278" s="3276"/>
    </row>
    <row r="279" spans="1:43" ht="75" customHeight="1" x14ac:dyDescent="0.2">
      <c r="A279" s="2238"/>
      <c r="B279" s="1526"/>
      <c r="C279" s="2239"/>
      <c r="D279" s="2165"/>
      <c r="E279" s="2166"/>
      <c r="F279" s="2166"/>
      <c r="G279" s="2167"/>
      <c r="H279" s="2167"/>
      <c r="I279" s="2166"/>
      <c r="J279" s="4260"/>
      <c r="K279" s="4263"/>
      <c r="L279" s="4266"/>
      <c r="M279" s="4423"/>
      <c r="N279" s="4266"/>
      <c r="O279" s="4266"/>
      <c r="P279" s="4263"/>
      <c r="Q279" s="3933"/>
      <c r="R279" s="4302"/>
      <c r="S279" s="4263"/>
      <c r="T279" s="4263"/>
      <c r="U279" s="2330" t="s">
        <v>2298</v>
      </c>
      <c r="V279" s="2258">
        <v>3000000</v>
      </c>
      <c r="W279" s="2173">
        <v>20</v>
      </c>
      <c r="X279" s="2213" t="s">
        <v>62</v>
      </c>
      <c r="Y279" s="4271"/>
      <c r="Z279" s="4271"/>
      <c r="AA279" s="4271"/>
      <c r="AB279" s="4271"/>
      <c r="AC279" s="4271">
        <v>307101</v>
      </c>
      <c r="AD279" s="4271">
        <v>86875</v>
      </c>
      <c r="AE279" s="4271"/>
      <c r="AF279" s="4271"/>
      <c r="AG279" s="4271"/>
      <c r="AH279" s="4271"/>
      <c r="AI279" s="4271"/>
      <c r="AJ279" s="4271"/>
      <c r="AK279" s="4271"/>
      <c r="AL279" s="4271"/>
      <c r="AM279" s="4271"/>
      <c r="AN279" s="4271"/>
      <c r="AO279" s="4407"/>
      <c r="AP279" s="4407"/>
      <c r="AQ279" s="3276"/>
    </row>
    <row r="280" spans="1:43" ht="50.25" customHeight="1" x14ac:dyDescent="0.2">
      <c r="A280" s="2238"/>
      <c r="B280" s="1526"/>
      <c r="C280" s="2239"/>
      <c r="D280" s="2165"/>
      <c r="E280" s="2166"/>
      <c r="F280" s="2166"/>
      <c r="G280" s="2167"/>
      <c r="H280" s="2167"/>
      <c r="I280" s="2166"/>
      <c r="J280" s="4261"/>
      <c r="K280" s="4264"/>
      <c r="L280" s="4266"/>
      <c r="M280" s="4433"/>
      <c r="N280" s="4266"/>
      <c r="O280" s="4266"/>
      <c r="P280" s="4263"/>
      <c r="Q280" s="3933"/>
      <c r="R280" s="4302"/>
      <c r="S280" s="4263"/>
      <c r="T280" s="4263"/>
      <c r="U280" s="2330" t="s">
        <v>2299</v>
      </c>
      <c r="V280" s="2258">
        <v>1600000</v>
      </c>
      <c r="W280" s="2173">
        <v>20</v>
      </c>
      <c r="X280" s="2213" t="s">
        <v>62</v>
      </c>
      <c r="Y280" s="4271"/>
      <c r="Z280" s="4271"/>
      <c r="AA280" s="4271"/>
      <c r="AB280" s="4271"/>
      <c r="AC280" s="4271">
        <v>307101</v>
      </c>
      <c r="AD280" s="4271">
        <v>86875</v>
      </c>
      <c r="AE280" s="4271"/>
      <c r="AF280" s="4271"/>
      <c r="AG280" s="4271"/>
      <c r="AH280" s="4271"/>
      <c r="AI280" s="4271"/>
      <c r="AJ280" s="4271"/>
      <c r="AK280" s="4271"/>
      <c r="AL280" s="4271"/>
      <c r="AM280" s="4271"/>
      <c r="AN280" s="4271"/>
      <c r="AO280" s="4407"/>
      <c r="AP280" s="4407"/>
      <c r="AQ280" s="3276"/>
    </row>
    <row r="281" spans="1:43" ht="80.25" customHeight="1" x14ac:dyDescent="0.2">
      <c r="A281" s="2238"/>
      <c r="B281" s="1526"/>
      <c r="C281" s="2239"/>
      <c r="D281" s="2319"/>
      <c r="E281" s="2320"/>
      <c r="F281" s="2320"/>
      <c r="G281" s="2331"/>
      <c r="H281" s="2331"/>
      <c r="I281" s="2332"/>
      <c r="J281" s="2333">
        <v>174</v>
      </c>
      <c r="K281" s="2334" t="s">
        <v>2300</v>
      </c>
      <c r="L281" s="2213" t="s">
        <v>1861</v>
      </c>
      <c r="M281" s="2213">
        <v>150</v>
      </c>
      <c r="N281" s="4267"/>
      <c r="O281" s="4267"/>
      <c r="P281" s="4264"/>
      <c r="Q281" s="2335">
        <f>V281/R274</f>
        <v>0.61728395061728392</v>
      </c>
      <c r="R281" s="4303"/>
      <c r="S281" s="4264"/>
      <c r="T281" s="4264"/>
      <c r="U281" s="2220" t="s">
        <v>2301</v>
      </c>
      <c r="V281" s="2258">
        <v>30000000</v>
      </c>
      <c r="W281" s="2173">
        <v>20</v>
      </c>
      <c r="X281" s="2213" t="s">
        <v>62</v>
      </c>
      <c r="Y281" s="4272"/>
      <c r="Z281" s="4272"/>
      <c r="AA281" s="4272"/>
      <c r="AB281" s="4272"/>
      <c r="AC281" s="4272">
        <v>307101</v>
      </c>
      <c r="AD281" s="4272">
        <v>86875</v>
      </c>
      <c r="AE281" s="4272"/>
      <c r="AF281" s="4272"/>
      <c r="AG281" s="4272"/>
      <c r="AH281" s="4272"/>
      <c r="AI281" s="4272"/>
      <c r="AJ281" s="4272"/>
      <c r="AK281" s="4272"/>
      <c r="AL281" s="4272"/>
      <c r="AM281" s="4272"/>
      <c r="AN281" s="4272"/>
      <c r="AO281" s="4408"/>
      <c r="AP281" s="4408"/>
      <c r="AQ281" s="3277"/>
    </row>
    <row r="282" spans="1:43" ht="15.75" x14ac:dyDescent="0.2">
      <c r="A282" s="2238"/>
      <c r="B282" s="1526"/>
      <c r="C282" s="2239"/>
      <c r="D282" s="2190"/>
      <c r="E282" s="2191"/>
      <c r="F282" s="2191"/>
      <c r="G282" s="2223">
        <v>54</v>
      </c>
      <c r="H282" s="2224" t="s">
        <v>2302</v>
      </c>
      <c r="I282" s="2224"/>
      <c r="J282" s="2160"/>
      <c r="K282" s="2195"/>
      <c r="L282" s="2160"/>
      <c r="M282" s="2196"/>
      <c r="N282" s="2160"/>
      <c r="O282" s="2160"/>
      <c r="P282" s="2160"/>
      <c r="Q282" s="2160"/>
      <c r="R282" s="2160"/>
      <c r="S282" s="2160"/>
      <c r="T282" s="2195"/>
      <c r="U282" s="2195"/>
      <c r="V282" s="2195"/>
      <c r="W282" s="2199"/>
      <c r="X282" s="2200"/>
      <c r="Y282" s="2160"/>
      <c r="Z282" s="2160"/>
      <c r="AA282" s="2160"/>
      <c r="AB282" s="2160"/>
      <c r="AC282" s="2160"/>
      <c r="AD282" s="2160"/>
      <c r="AE282" s="2160"/>
      <c r="AF282" s="2160"/>
      <c r="AG282" s="2160"/>
      <c r="AH282" s="2160"/>
      <c r="AI282" s="2160"/>
      <c r="AJ282" s="2160"/>
      <c r="AK282" s="2160"/>
      <c r="AL282" s="2160"/>
      <c r="AM282" s="2160"/>
      <c r="AN282" s="2160"/>
      <c r="AO282" s="2263"/>
      <c r="AP282" s="2263"/>
      <c r="AQ282" s="2219"/>
    </row>
    <row r="283" spans="1:43" ht="39.75" customHeight="1" x14ac:dyDescent="0.2">
      <c r="A283" s="2238"/>
      <c r="B283" s="1526"/>
      <c r="C283" s="2239"/>
      <c r="D283" s="2165"/>
      <c r="E283" s="2166"/>
      <c r="F283" s="2167"/>
      <c r="G283" s="2168"/>
      <c r="H283" s="2169"/>
      <c r="I283" s="2170"/>
      <c r="J283" s="4259">
        <v>175</v>
      </c>
      <c r="K283" s="4434" t="s">
        <v>2303</v>
      </c>
      <c r="L283" s="4342" t="s">
        <v>1861</v>
      </c>
      <c r="M283" s="4342">
        <v>14</v>
      </c>
      <c r="N283" s="4342" t="s">
        <v>2304</v>
      </c>
      <c r="O283" s="4342" t="s">
        <v>2305</v>
      </c>
      <c r="P283" s="4345" t="s">
        <v>2306</v>
      </c>
      <c r="Q283" s="4439">
        <f>SUM(V283:V285)/R283</f>
        <v>0.70059880239520955</v>
      </c>
      <c r="R283" s="4301">
        <v>40080000</v>
      </c>
      <c r="S283" s="4345" t="s">
        <v>2307</v>
      </c>
      <c r="T283" s="4440" t="s">
        <v>2308</v>
      </c>
      <c r="U283" s="2330" t="s">
        <v>2309</v>
      </c>
      <c r="V283" s="2336">
        <v>10000000</v>
      </c>
      <c r="W283" s="2173">
        <v>20</v>
      </c>
      <c r="X283" s="2213" t="s">
        <v>62</v>
      </c>
      <c r="Y283" s="4270">
        <v>292684</v>
      </c>
      <c r="Z283" s="4270">
        <v>282326</v>
      </c>
      <c r="AA283" s="4270">
        <v>135912</v>
      </c>
      <c r="AB283" s="4270">
        <v>45122</v>
      </c>
      <c r="AC283" s="4436">
        <v>307101</v>
      </c>
      <c r="AD283" s="4436">
        <v>86875</v>
      </c>
      <c r="AE283" s="4270">
        <v>2145</v>
      </c>
      <c r="AF283" s="4270">
        <v>12718</v>
      </c>
      <c r="AG283" s="4270">
        <v>26</v>
      </c>
      <c r="AH283" s="4270">
        <v>37</v>
      </c>
      <c r="AI283" s="4270" t="s">
        <v>1869</v>
      </c>
      <c r="AJ283" s="4270" t="s">
        <v>1869</v>
      </c>
      <c r="AK283" s="4270">
        <v>53164</v>
      </c>
      <c r="AL283" s="4270">
        <v>16982</v>
      </c>
      <c r="AM283" s="4270">
        <v>60013</v>
      </c>
      <c r="AN283" s="4270">
        <v>575010</v>
      </c>
      <c r="AO283" s="4392">
        <v>43466</v>
      </c>
      <c r="AP283" s="4392">
        <v>43830</v>
      </c>
      <c r="AQ283" s="3610" t="s">
        <v>1870</v>
      </c>
    </row>
    <row r="284" spans="1:43" ht="52.5" customHeight="1" x14ac:dyDescent="0.2">
      <c r="A284" s="2238"/>
      <c r="B284" s="1526"/>
      <c r="C284" s="2239"/>
      <c r="D284" s="2165"/>
      <c r="E284" s="2166"/>
      <c r="F284" s="2167"/>
      <c r="G284" s="2164"/>
      <c r="H284" s="2165"/>
      <c r="I284" s="2166"/>
      <c r="J284" s="4260"/>
      <c r="K284" s="4435"/>
      <c r="L284" s="4343"/>
      <c r="M284" s="4343"/>
      <c r="N284" s="4343"/>
      <c r="O284" s="4343"/>
      <c r="P284" s="4346"/>
      <c r="Q284" s="4439"/>
      <c r="R284" s="4302"/>
      <c r="S284" s="4346"/>
      <c r="T284" s="4440"/>
      <c r="U284" s="2330" t="s">
        <v>2310</v>
      </c>
      <c r="V284" s="2336">
        <v>8080000</v>
      </c>
      <c r="W284" s="2173">
        <v>20</v>
      </c>
      <c r="X284" s="2213" t="s">
        <v>62</v>
      </c>
      <c r="Y284" s="4271"/>
      <c r="Z284" s="4271"/>
      <c r="AA284" s="4271"/>
      <c r="AB284" s="4271"/>
      <c r="AC284" s="4437"/>
      <c r="AD284" s="4437">
        <v>86875</v>
      </c>
      <c r="AE284" s="4271"/>
      <c r="AF284" s="4271"/>
      <c r="AG284" s="4271"/>
      <c r="AH284" s="4271"/>
      <c r="AI284" s="4271"/>
      <c r="AJ284" s="4271"/>
      <c r="AK284" s="4271"/>
      <c r="AL284" s="4271"/>
      <c r="AM284" s="4271"/>
      <c r="AN284" s="4271"/>
      <c r="AO284" s="4393"/>
      <c r="AP284" s="4393"/>
      <c r="AQ284" s="3276"/>
    </row>
    <row r="285" spans="1:43" ht="57.75" customHeight="1" x14ac:dyDescent="0.2">
      <c r="A285" s="2238"/>
      <c r="B285" s="1526"/>
      <c r="C285" s="2239"/>
      <c r="D285" s="2165"/>
      <c r="E285" s="2166"/>
      <c r="F285" s="2167"/>
      <c r="G285" s="2164"/>
      <c r="H285" s="2167"/>
      <c r="I285" s="2166"/>
      <c r="J285" s="4260"/>
      <c r="K285" s="4435"/>
      <c r="L285" s="4343"/>
      <c r="M285" s="4343"/>
      <c r="N285" s="4343"/>
      <c r="O285" s="4343"/>
      <c r="P285" s="4346"/>
      <c r="Q285" s="4439"/>
      <c r="R285" s="4302"/>
      <c r="S285" s="4346"/>
      <c r="T285" s="4440"/>
      <c r="U285" s="2330" t="s">
        <v>2311</v>
      </c>
      <c r="V285" s="2172">
        <v>10000000</v>
      </c>
      <c r="W285" s="2173">
        <v>20</v>
      </c>
      <c r="X285" s="2213" t="s">
        <v>62</v>
      </c>
      <c r="Y285" s="4271"/>
      <c r="Z285" s="4271"/>
      <c r="AA285" s="4271"/>
      <c r="AB285" s="4271"/>
      <c r="AC285" s="4437"/>
      <c r="AD285" s="4437">
        <v>86875</v>
      </c>
      <c r="AE285" s="4271"/>
      <c r="AF285" s="4271"/>
      <c r="AG285" s="4271"/>
      <c r="AH285" s="4271"/>
      <c r="AI285" s="4271"/>
      <c r="AJ285" s="4271"/>
      <c r="AK285" s="4271"/>
      <c r="AL285" s="4271"/>
      <c r="AM285" s="4271"/>
      <c r="AN285" s="4271"/>
      <c r="AO285" s="4393"/>
      <c r="AP285" s="4393"/>
      <c r="AQ285" s="3276"/>
    </row>
    <row r="286" spans="1:43" ht="45" x14ac:dyDescent="0.2">
      <c r="A286" s="2238"/>
      <c r="B286" s="1526"/>
      <c r="C286" s="2239"/>
      <c r="D286" s="2175"/>
      <c r="E286" s="2176"/>
      <c r="F286" s="2175"/>
      <c r="G286" s="2164"/>
      <c r="H286" s="2167"/>
      <c r="I286" s="2166"/>
      <c r="J286" s="2265">
        <v>176</v>
      </c>
      <c r="K286" s="2337" t="s">
        <v>2312</v>
      </c>
      <c r="L286" s="2251" t="s">
        <v>741</v>
      </c>
      <c r="M286" s="2251">
        <v>2</v>
      </c>
      <c r="N286" s="4344"/>
      <c r="O286" s="4344"/>
      <c r="P286" s="4347"/>
      <c r="Q286" s="2338">
        <f>SUM(V286/R283)</f>
        <v>0.29940119760479039</v>
      </c>
      <c r="R286" s="4303"/>
      <c r="S286" s="4346"/>
      <c r="T286" s="2339" t="s">
        <v>2313</v>
      </c>
      <c r="U286" s="2330" t="s">
        <v>2314</v>
      </c>
      <c r="V286" s="2172">
        <v>12000000</v>
      </c>
      <c r="W286" s="2173">
        <v>20</v>
      </c>
      <c r="X286" s="2213" t="s">
        <v>62</v>
      </c>
      <c r="Y286" s="4272"/>
      <c r="Z286" s="4272"/>
      <c r="AA286" s="4272"/>
      <c r="AB286" s="4272"/>
      <c r="AC286" s="4438"/>
      <c r="AD286" s="4438">
        <v>86875</v>
      </c>
      <c r="AE286" s="4272"/>
      <c r="AF286" s="4272"/>
      <c r="AG286" s="4272"/>
      <c r="AH286" s="4272"/>
      <c r="AI286" s="4272"/>
      <c r="AJ286" s="4272"/>
      <c r="AK286" s="4272"/>
      <c r="AL286" s="4272"/>
      <c r="AM286" s="4272"/>
      <c r="AN286" s="4272"/>
      <c r="AO286" s="4394"/>
      <c r="AP286" s="4394"/>
      <c r="AQ286" s="3277"/>
    </row>
    <row r="287" spans="1:43" ht="15.75" x14ac:dyDescent="0.2">
      <c r="A287" s="2238"/>
      <c r="B287" s="1526"/>
      <c r="C287" s="2239"/>
      <c r="D287" s="2340">
        <v>15</v>
      </c>
      <c r="E287" s="2153" t="s">
        <v>2315</v>
      </c>
      <c r="F287" s="2153"/>
      <c r="G287" s="2272"/>
      <c r="H287" s="2272"/>
      <c r="I287" s="2272"/>
      <c r="J287" s="2154"/>
      <c r="K287" s="2184"/>
      <c r="L287" s="2154"/>
      <c r="M287" s="2185"/>
      <c r="N287" s="2186"/>
      <c r="O287" s="2186"/>
      <c r="P287" s="2186"/>
      <c r="Q287" s="2186"/>
      <c r="R287" s="2186"/>
      <c r="S287" s="2154"/>
      <c r="T287" s="2184"/>
      <c r="U287" s="2184"/>
      <c r="V287" s="2184"/>
      <c r="W287" s="2188"/>
      <c r="X287" s="2189"/>
      <c r="Y287" s="2186"/>
      <c r="Z287" s="2186"/>
      <c r="AA287" s="2186"/>
      <c r="AB287" s="2186"/>
      <c r="AC287" s="2186"/>
      <c r="AD287" s="2186"/>
      <c r="AE287" s="2186"/>
      <c r="AF287" s="2186"/>
      <c r="AG287" s="2186"/>
      <c r="AH287" s="2186"/>
      <c r="AI287" s="2186"/>
      <c r="AJ287" s="2186"/>
      <c r="AK287" s="2186"/>
      <c r="AL287" s="2186"/>
      <c r="AM287" s="2186"/>
      <c r="AN287" s="2186"/>
      <c r="AO287" s="2296"/>
      <c r="AP287" s="2296"/>
      <c r="AQ287" s="2341"/>
    </row>
    <row r="288" spans="1:43" ht="15.75" x14ac:dyDescent="0.2">
      <c r="A288" s="2238"/>
      <c r="B288" s="1526"/>
      <c r="C288" s="2239"/>
      <c r="D288" s="2192"/>
      <c r="E288" s="2192"/>
      <c r="F288" s="2193"/>
      <c r="G288" s="2342">
        <v>55</v>
      </c>
      <c r="H288" s="2160" t="s">
        <v>2316</v>
      </c>
      <c r="I288" s="2160"/>
      <c r="J288" s="2160"/>
      <c r="K288" s="2195"/>
      <c r="L288" s="2160"/>
      <c r="M288" s="2196"/>
      <c r="N288" s="2160"/>
      <c r="O288" s="2160"/>
      <c r="P288" s="2160"/>
      <c r="Q288" s="2160"/>
      <c r="R288" s="2160"/>
      <c r="S288" s="2160"/>
      <c r="T288" s="2195"/>
      <c r="U288" s="2195"/>
      <c r="V288" s="2195"/>
      <c r="W288" s="2199"/>
      <c r="X288" s="2343"/>
      <c r="Y288" s="2160"/>
      <c r="Z288" s="2160"/>
      <c r="AA288" s="2160"/>
      <c r="AB288" s="2160"/>
      <c r="AC288" s="2160"/>
      <c r="AD288" s="2160"/>
      <c r="AE288" s="2160"/>
      <c r="AF288" s="2160"/>
      <c r="AG288" s="2160"/>
      <c r="AH288" s="2160"/>
      <c r="AI288" s="2160"/>
      <c r="AJ288" s="2160"/>
      <c r="AK288" s="2160"/>
      <c r="AL288" s="2160"/>
      <c r="AM288" s="2160"/>
      <c r="AN288" s="2160"/>
      <c r="AO288" s="2263"/>
      <c r="AP288" s="2263"/>
      <c r="AQ288" s="2219"/>
    </row>
    <row r="289" spans="1:43" ht="66" customHeight="1" x14ac:dyDescent="0.2">
      <c r="A289" s="2238"/>
      <c r="B289" s="1526"/>
      <c r="C289" s="2239"/>
      <c r="D289" s="2214"/>
      <c r="E289" s="2214"/>
      <c r="F289" s="2215"/>
      <c r="G289" s="2211"/>
      <c r="H289" s="2344"/>
      <c r="I289" s="2211"/>
      <c r="J289" s="2213">
        <v>177</v>
      </c>
      <c r="K289" s="2220" t="s">
        <v>2317</v>
      </c>
      <c r="L289" s="2213" t="s">
        <v>1861</v>
      </c>
      <c r="M289" s="2213">
        <v>2</v>
      </c>
      <c r="N289" s="4385" t="s">
        <v>2318</v>
      </c>
      <c r="O289" s="4385" t="s">
        <v>2319</v>
      </c>
      <c r="P289" s="4334" t="s">
        <v>2320</v>
      </c>
      <c r="Q289" s="2345">
        <v>0</v>
      </c>
      <c r="R289" s="4441">
        <v>150000000</v>
      </c>
      <c r="S289" s="4334" t="s">
        <v>2321</v>
      </c>
      <c r="T289" s="2220" t="s">
        <v>2322</v>
      </c>
      <c r="U289" s="2220" t="s">
        <v>2323</v>
      </c>
      <c r="V289" s="2346">
        <v>0</v>
      </c>
      <c r="W289" s="2347"/>
      <c r="X289" s="2213"/>
      <c r="Y289" s="4313">
        <v>292684</v>
      </c>
      <c r="Z289" s="4313">
        <v>282326</v>
      </c>
      <c r="AA289" s="4313">
        <v>135912</v>
      </c>
      <c r="AB289" s="4313">
        <v>45122</v>
      </c>
      <c r="AC289" s="4313">
        <v>307101</v>
      </c>
      <c r="AD289" s="4313">
        <v>86875</v>
      </c>
      <c r="AE289" s="4313">
        <v>2145</v>
      </c>
      <c r="AF289" s="4313">
        <v>12718</v>
      </c>
      <c r="AG289" s="4313">
        <v>26</v>
      </c>
      <c r="AH289" s="4313">
        <v>37</v>
      </c>
      <c r="AI289" s="4313" t="s">
        <v>1869</v>
      </c>
      <c r="AJ289" s="4313" t="s">
        <v>1869</v>
      </c>
      <c r="AK289" s="4313">
        <v>53164</v>
      </c>
      <c r="AL289" s="4313">
        <v>16982</v>
      </c>
      <c r="AM289" s="4313">
        <v>60013</v>
      </c>
      <c r="AN289" s="4313">
        <v>575010</v>
      </c>
      <c r="AO289" s="4392">
        <v>43466</v>
      </c>
      <c r="AP289" s="4392">
        <v>43830</v>
      </c>
      <c r="AQ289" s="3610" t="s">
        <v>1870</v>
      </c>
    </row>
    <row r="290" spans="1:43" ht="30" x14ac:dyDescent="0.2">
      <c r="A290" s="2238"/>
      <c r="B290" s="1526"/>
      <c r="C290" s="2239"/>
      <c r="D290" s="2214"/>
      <c r="E290" s="2214"/>
      <c r="F290" s="2215"/>
      <c r="G290" s="2215"/>
      <c r="H290" s="2348"/>
      <c r="I290" s="2215"/>
      <c r="J290" s="4385">
        <v>178</v>
      </c>
      <c r="K290" s="4334" t="s">
        <v>2324</v>
      </c>
      <c r="L290" s="4385" t="s">
        <v>1861</v>
      </c>
      <c r="M290" s="4385">
        <v>3</v>
      </c>
      <c r="N290" s="4385"/>
      <c r="O290" s="4385"/>
      <c r="P290" s="4334"/>
      <c r="Q290" s="4304">
        <f>SUM(V290:V294)/R289</f>
        <v>1</v>
      </c>
      <c r="R290" s="4441"/>
      <c r="S290" s="4334"/>
      <c r="T290" s="4334" t="s">
        <v>2325</v>
      </c>
      <c r="U290" s="2349" t="s">
        <v>2326</v>
      </c>
      <c r="V290" s="2172">
        <v>60000000</v>
      </c>
      <c r="W290" s="2347">
        <v>72</v>
      </c>
      <c r="X290" s="2213" t="s">
        <v>2327</v>
      </c>
      <c r="Y290" s="4314"/>
      <c r="Z290" s="4314"/>
      <c r="AA290" s="4314"/>
      <c r="AB290" s="4314"/>
      <c r="AC290" s="4314"/>
      <c r="AD290" s="4314"/>
      <c r="AE290" s="4314"/>
      <c r="AF290" s="4314"/>
      <c r="AG290" s="4314"/>
      <c r="AH290" s="4314"/>
      <c r="AI290" s="4314"/>
      <c r="AJ290" s="4314"/>
      <c r="AK290" s="4314"/>
      <c r="AL290" s="4314"/>
      <c r="AM290" s="4314"/>
      <c r="AN290" s="4314"/>
      <c r="AO290" s="4393"/>
      <c r="AP290" s="4393"/>
      <c r="AQ290" s="3276"/>
    </row>
    <row r="291" spans="1:43" ht="30" x14ac:dyDescent="0.2">
      <c r="A291" s="2238"/>
      <c r="B291" s="1526"/>
      <c r="C291" s="2239"/>
      <c r="D291" s="2214"/>
      <c r="E291" s="2214"/>
      <c r="F291" s="2215"/>
      <c r="G291" s="2215"/>
      <c r="H291" s="2348"/>
      <c r="I291" s="2215"/>
      <c r="J291" s="4385"/>
      <c r="K291" s="4334"/>
      <c r="L291" s="4385"/>
      <c r="M291" s="4385"/>
      <c r="N291" s="4385"/>
      <c r="O291" s="4385"/>
      <c r="P291" s="4334"/>
      <c r="Q291" s="4305"/>
      <c r="R291" s="4441"/>
      <c r="S291" s="4334"/>
      <c r="T291" s="4334"/>
      <c r="U291" s="2349" t="s">
        <v>2328</v>
      </c>
      <c r="V291" s="2172">
        <v>40000000</v>
      </c>
      <c r="W291" s="2347">
        <v>72</v>
      </c>
      <c r="X291" s="2213" t="s">
        <v>2327</v>
      </c>
      <c r="Y291" s="4314"/>
      <c r="Z291" s="4314"/>
      <c r="AA291" s="4314"/>
      <c r="AB291" s="4314"/>
      <c r="AC291" s="4314"/>
      <c r="AD291" s="4314"/>
      <c r="AE291" s="4314"/>
      <c r="AF291" s="4314"/>
      <c r="AG291" s="4314"/>
      <c r="AH291" s="4314"/>
      <c r="AI291" s="4314"/>
      <c r="AJ291" s="4314"/>
      <c r="AK291" s="4314"/>
      <c r="AL291" s="4314"/>
      <c r="AM291" s="4314"/>
      <c r="AN291" s="4314"/>
      <c r="AO291" s="4393"/>
      <c r="AP291" s="4393"/>
      <c r="AQ291" s="3276"/>
    </row>
    <row r="292" spans="1:43" ht="30" x14ac:dyDescent="0.2">
      <c r="A292" s="2238"/>
      <c r="B292" s="1526"/>
      <c r="C292" s="2239"/>
      <c r="D292" s="2214"/>
      <c r="E292" s="2214"/>
      <c r="F292" s="2215"/>
      <c r="G292" s="2215"/>
      <c r="H292" s="2348"/>
      <c r="I292" s="2215"/>
      <c r="J292" s="4385"/>
      <c r="K292" s="4334"/>
      <c r="L292" s="4385"/>
      <c r="M292" s="4385"/>
      <c r="N292" s="4385"/>
      <c r="O292" s="4385"/>
      <c r="P292" s="4334"/>
      <c r="Q292" s="4305"/>
      <c r="R292" s="4441"/>
      <c r="S292" s="4334"/>
      <c r="T292" s="4334"/>
      <c r="U292" s="2349" t="s">
        <v>2329</v>
      </c>
      <c r="V292" s="2172">
        <v>20000000</v>
      </c>
      <c r="W292" s="2347">
        <v>72</v>
      </c>
      <c r="X292" s="2213" t="s">
        <v>2327</v>
      </c>
      <c r="Y292" s="4314"/>
      <c r="Z292" s="4314"/>
      <c r="AA292" s="4314"/>
      <c r="AB292" s="4314"/>
      <c r="AC292" s="4314"/>
      <c r="AD292" s="4314"/>
      <c r="AE292" s="4314"/>
      <c r="AF292" s="4314"/>
      <c r="AG292" s="4314"/>
      <c r="AH292" s="4314"/>
      <c r="AI292" s="4314"/>
      <c r="AJ292" s="4314"/>
      <c r="AK292" s="4314"/>
      <c r="AL292" s="4314"/>
      <c r="AM292" s="4314"/>
      <c r="AN292" s="4314"/>
      <c r="AO292" s="4393"/>
      <c r="AP292" s="4393"/>
      <c r="AQ292" s="3276"/>
    </row>
    <row r="293" spans="1:43" ht="30" x14ac:dyDescent="0.2">
      <c r="A293" s="2238"/>
      <c r="B293" s="1526"/>
      <c r="C293" s="2239"/>
      <c r="D293" s="2214"/>
      <c r="E293" s="2214"/>
      <c r="F293" s="2215"/>
      <c r="G293" s="2215"/>
      <c r="H293" s="2348"/>
      <c r="I293" s="2215"/>
      <c r="J293" s="4385"/>
      <c r="K293" s="4334"/>
      <c r="L293" s="4385"/>
      <c r="M293" s="4385"/>
      <c r="N293" s="4385"/>
      <c r="O293" s="4385"/>
      <c r="P293" s="4334"/>
      <c r="Q293" s="4305"/>
      <c r="R293" s="4441"/>
      <c r="S293" s="4334"/>
      <c r="T293" s="4334" t="s">
        <v>2330</v>
      </c>
      <c r="U293" s="2350" t="s">
        <v>2331</v>
      </c>
      <c r="V293" s="2172">
        <v>15000000</v>
      </c>
      <c r="W293" s="2347">
        <v>72</v>
      </c>
      <c r="X293" s="2213" t="s">
        <v>2327</v>
      </c>
      <c r="Y293" s="4314"/>
      <c r="Z293" s="4314"/>
      <c r="AA293" s="4314"/>
      <c r="AB293" s="4314"/>
      <c r="AC293" s="4314"/>
      <c r="AD293" s="4314"/>
      <c r="AE293" s="4314"/>
      <c r="AF293" s="4314"/>
      <c r="AG293" s="4314"/>
      <c r="AH293" s="4314"/>
      <c r="AI293" s="4314"/>
      <c r="AJ293" s="4314"/>
      <c r="AK293" s="4314"/>
      <c r="AL293" s="4314"/>
      <c r="AM293" s="4314"/>
      <c r="AN293" s="4314"/>
      <c r="AO293" s="4393"/>
      <c r="AP293" s="4393"/>
      <c r="AQ293" s="3276"/>
    </row>
    <row r="294" spans="1:43" ht="30" x14ac:dyDescent="0.2">
      <c r="A294" s="2238"/>
      <c r="B294" s="1526"/>
      <c r="C294" s="2239"/>
      <c r="D294" s="2214"/>
      <c r="E294" s="2214"/>
      <c r="F294" s="2215"/>
      <c r="G294" s="2215"/>
      <c r="H294" s="2348"/>
      <c r="I294" s="2215"/>
      <c r="J294" s="4385"/>
      <c r="K294" s="4334"/>
      <c r="L294" s="4385"/>
      <c r="M294" s="4385"/>
      <c r="N294" s="4385"/>
      <c r="O294" s="4385"/>
      <c r="P294" s="4334"/>
      <c r="Q294" s="4306"/>
      <c r="R294" s="4441"/>
      <c r="S294" s="4334"/>
      <c r="T294" s="4334"/>
      <c r="U294" s="2350" t="s">
        <v>2332</v>
      </c>
      <c r="V294" s="2172">
        <v>15000000</v>
      </c>
      <c r="W294" s="2347">
        <v>72</v>
      </c>
      <c r="X294" s="2213" t="s">
        <v>2327</v>
      </c>
      <c r="Y294" s="4314"/>
      <c r="Z294" s="4314"/>
      <c r="AA294" s="4314"/>
      <c r="AB294" s="4314"/>
      <c r="AC294" s="4314"/>
      <c r="AD294" s="4314"/>
      <c r="AE294" s="4314"/>
      <c r="AF294" s="4314"/>
      <c r="AG294" s="4314"/>
      <c r="AH294" s="4314"/>
      <c r="AI294" s="4314"/>
      <c r="AJ294" s="4314"/>
      <c r="AK294" s="4314"/>
      <c r="AL294" s="4314"/>
      <c r="AM294" s="4314"/>
      <c r="AN294" s="4314"/>
      <c r="AO294" s="4393"/>
      <c r="AP294" s="4393"/>
      <c r="AQ294" s="3276"/>
    </row>
    <row r="295" spans="1:43" ht="82.5" customHeight="1" x14ac:dyDescent="0.2">
      <c r="A295" s="2238"/>
      <c r="B295" s="1526"/>
      <c r="C295" s="2239"/>
      <c r="D295" s="2214"/>
      <c r="E295" s="2214"/>
      <c r="F295" s="2215"/>
      <c r="G295" s="2215"/>
      <c r="H295" s="2348"/>
      <c r="I295" s="2215"/>
      <c r="J295" s="2203">
        <v>179</v>
      </c>
      <c r="K295" s="2327" t="s">
        <v>2333</v>
      </c>
      <c r="L295" s="2203" t="s">
        <v>1861</v>
      </c>
      <c r="M295" s="2203">
        <v>4</v>
      </c>
      <c r="N295" s="4265"/>
      <c r="O295" s="4265"/>
      <c r="P295" s="4262"/>
      <c r="Q295" s="2303">
        <v>0</v>
      </c>
      <c r="R295" s="4301"/>
      <c r="S295" s="4262"/>
      <c r="T295" s="2202" t="s">
        <v>2334</v>
      </c>
      <c r="U295" s="2351" t="s">
        <v>2335</v>
      </c>
      <c r="V295" s="2352">
        <v>0</v>
      </c>
      <c r="W295" s="2353"/>
      <c r="X295" s="2203"/>
      <c r="Y295" s="4315"/>
      <c r="Z295" s="4315"/>
      <c r="AA295" s="4315"/>
      <c r="AB295" s="4315"/>
      <c r="AC295" s="4315"/>
      <c r="AD295" s="4315"/>
      <c r="AE295" s="4315"/>
      <c r="AF295" s="4315"/>
      <c r="AG295" s="4315"/>
      <c r="AH295" s="4315"/>
      <c r="AI295" s="4315"/>
      <c r="AJ295" s="4315"/>
      <c r="AK295" s="4315"/>
      <c r="AL295" s="4315"/>
      <c r="AM295" s="4315"/>
      <c r="AN295" s="4315"/>
      <c r="AO295" s="4393"/>
      <c r="AP295" s="4393"/>
      <c r="AQ295" s="3277"/>
    </row>
    <row r="296" spans="1:43" s="1210" customFormat="1" ht="15" x14ac:dyDescent="0.25">
      <c r="A296" s="2354"/>
      <c r="B296" s="2355"/>
      <c r="C296" s="2356"/>
      <c r="D296" s="2355"/>
      <c r="E296" s="2355"/>
      <c r="F296" s="2355"/>
      <c r="G296" s="2356"/>
      <c r="H296" s="2354"/>
      <c r="I296" s="2356"/>
      <c r="J296" s="1164"/>
      <c r="K296" s="1164"/>
      <c r="L296" s="1164"/>
      <c r="M296" s="1164"/>
      <c r="N296" s="1164"/>
      <c r="O296" s="1164"/>
      <c r="P296" s="1164"/>
      <c r="Q296" s="1164"/>
      <c r="R296" s="2357">
        <f>SUM(R12:R295)</f>
        <v>39433735554</v>
      </c>
      <c r="S296" s="1164"/>
      <c r="T296" s="2358"/>
      <c r="U296" s="1164"/>
      <c r="V296" s="2357">
        <f>SUM(V12:V295)</f>
        <v>39433735554</v>
      </c>
      <c r="W296" s="1164"/>
      <c r="X296" s="2359"/>
      <c r="Y296" s="1164"/>
      <c r="Z296" s="1164"/>
      <c r="AA296" s="1164"/>
      <c r="AB296" s="1164"/>
      <c r="AC296" s="1164"/>
      <c r="AD296" s="1164"/>
      <c r="AE296" s="1164"/>
      <c r="AF296" s="1164"/>
      <c r="AG296" s="1164"/>
      <c r="AH296" s="1164"/>
      <c r="AI296" s="1164"/>
      <c r="AJ296" s="1164"/>
      <c r="AK296" s="1164"/>
      <c r="AL296" s="1164"/>
      <c r="AM296" s="1164"/>
      <c r="AN296" s="1164"/>
      <c r="AO296" s="1164"/>
      <c r="AP296" s="1164"/>
      <c r="AQ296" s="1164"/>
    </row>
  </sheetData>
  <sheetProtection password="F3F4" sheet="1" objects="1" scenarios="1"/>
  <mergeCells count="881">
    <mergeCell ref="J290:J294"/>
    <mergeCell ref="K290:K294"/>
    <mergeCell ref="L290:L294"/>
    <mergeCell ref="M290:M294"/>
    <mergeCell ref="Q290:Q294"/>
    <mergeCell ref="T290:T292"/>
    <mergeCell ref="T293:T294"/>
    <mergeCell ref="AL289:AL295"/>
    <mergeCell ref="AM289:AM295"/>
    <mergeCell ref="Z289:Z295"/>
    <mergeCell ref="AA289:AA295"/>
    <mergeCell ref="AB289:AB295"/>
    <mergeCell ref="AC289:AC295"/>
    <mergeCell ref="AD289:AD295"/>
    <mergeCell ref="AE289:AE295"/>
    <mergeCell ref="N289:N295"/>
    <mergeCell ref="O289:O295"/>
    <mergeCell ref="P289:P295"/>
    <mergeCell ref="R289:R295"/>
    <mergeCell ref="S289:S295"/>
    <mergeCell ref="Y289:Y295"/>
    <mergeCell ref="AN289:AN295"/>
    <mergeCell ref="AO289:AO295"/>
    <mergeCell ref="AP289:AP295"/>
    <mergeCell ref="AQ289:AQ295"/>
    <mergeCell ref="AF289:AF295"/>
    <mergeCell ref="AG289:AG295"/>
    <mergeCell ref="AH289:AH295"/>
    <mergeCell ref="AI289:AI295"/>
    <mergeCell ref="AJ289:AJ295"/>
    <mergeCell ref="AK289:AK295"/>
    <mergeCell ref="AL283:AL286"/>
    <mergeCell ref="AM283:AM286"/>
    <mergeCell ref="AN283:AN286"/>
    <mergeCell ref="AO283:AO286"/>
    <mergeCell ref="AP283:AP286"/>
    <mergeCell ref="AQ283:AQ286"/>
    <mergeCell ref="AF283:AF286"/>
    <mergeCell ref="AG283:AG286"/>
    <mergeCell ref="AH283:AH286"/>
    <mergeCell ref="AI283:AI286"/>
    <mergeCell ref="AJ283:AJ286"/>
    <mergeCell ref="AK283:AK286"/>
    <mergeCell ref="J274:J280"/>
    <mergeCell ref="K274:K280"/>
    <mergeCell ref="Z283:Z286"/>
    <mergeCell ref="AA283:AA286"/>
    <mergeCell ref="AB283:AB286"/>
    <mergeCell ref="AC283:AC286"/>
    <mergeCell ref="AD283:AD286"/>
    <mergeCell ref="AE283:AE286"/>
    <mergeCell ref="P283:P286"/>
    <mergeCell ref="Q283:Q285"/>
    <mergeCell ref="R283:R286"/>
    <mergeCell ref="S283:S286"/>
    <mergeCell ref="T283:T285"/>
    <mergeCell ref="Y283:Y286"/>
    <mergeCell ref="AQ274:AQ281"/>
    <mergeCell ref="AF274:AF281"/>
    <mergeCell ref="AG274:AG281"/>
    <mergeCell ref="AH274:AH281"/>
    <mergeCell ref="AI274:AI281"/>
    <mergeCell ref="AJ274:AJ281"/>
    <mergeCell ref="AK274:AK281"/>
    <mergeCell ref="J283:J285"/>
    <mergeCell ref="K283:K285"/>
    <mergeCell ref="L283:L285"/>
    <mergeCell ref="M283:M285"/>
    <mergeCell ref="N283:N286"/>
    <mergeCell ref="O283:O286"/>
    <mergeCell ref="AL274:AL281"/>
    <mergeCell ref="AM274:AM281"/>
    <mergeCell ref="AN274:AN281"/>
    <mergeCell ref="Z274:Z281"/>
    <mergeCell ref="AA274:AA281"/>
    <mergeCell ref="AB274:AB281"/>
    <mergeCell ref="AC274:AC281"/>
    <mergeCell ref="AD274:AD281"/>
    <mergeCell ref="AE274:AE281"/>
    <mergeCell ref="P274:P281"/>
    <mergeCell ref="Q274:Q280"/>
    <mergeCell ref="L274:L280"/>
    <mergeCell ref="M274:M280"/>
    <mergeCell ref="N274:N281"/>
    <mergeCell ref="O274:O281"/>
    <mergeCell ref="AL267:AL272"/>
    <mergeCell ref="AM267:AM272"/>
    <mergeCell ref="AN267:AN272"/>
    <mergeCell ref="AO267:AO272"/>
    <mergeCell ref="AP267:AP272"/>
    <mergeCell ref="P267:P272"/>
    <mergeCell ref="Q267:Q272"/>
    <mergeCell ref="R267:R272"/>
    <mergeCell ref="S267:S272"/>
    <mergeCell ref="T267:T271"/>
    <mergeCell ref="Y267:Y272"/>
    <mergeCell ref="AO274:AO281"/>
    <mergeCell ref="AP274:AP281"/>
    <mergeCell ref="R274:R281"/>
    <mergeCell ref="S274:S281"/>
    <mergeCell ref="T274:T276"/>
    <mergeCell ref="Y274:Y281"/>
    <mergeCell ref="T278:T281"/>
    <mergeCell ref="AQ267:AQ272"/>
    <mergeCell ref="AF267:AF272"/>
    <mergeCell ref="AG267:AG272"/>
    <mergeCell ref="AH267:AH272"/>
    <mergeCell ref="AI267:AI272"/>
    <mergeCell ref="AJ267:AJ272"/>
    <mergeCell ref="AK267:AK272"/>
    <mergeCell ref="Z267:Z272"/>
    <mergeCell ref="AA267:AA272"/>
    <mergeCell ref="AB267:AB272"/>
    <mergeCell ref="AC267:AC272"/>
    <mergeCell ref="AD267:AD272"/>
    <mergeCell ref="AE267:AE272"/>
    <mergeCell ref="AQ262:AQ266"/>
    <mergeCell ref="J265:J266"/>
    <mergeCell ref="Q265:Q266"/>
    <mergeCell ref="T265:T266"/>
    <mergeCell ref="J267:J272"/>
    <mergeCell ref="K267:K272"/>
    <mergeCell ref="L267:L272"/>
    <mergeCell ref="M267:M272"/>
    <mergeCell ref="N267:N272"/>
    <mergeCell ref="O267:O272"/>
    <mergeCell ref="AK262:AK266"/>
    <mergeCell ref="AL262:AL266"/>
    <mergeCell ref="AM262:AM266"/>
    <mergeCell ref="AN262:AN266"/>
    <mergeCell ref="AO262:AO266"/>
    <mergeCell ref="AP262:AP266"/>
    <mergeCell ref="AE262:AE266"/>
    <mergeCell ref="AF262:AF266"/>
    <mergeCell ref="AG262:AG266"/>
    <mergeCell ref="AH262:AH266"/>
    <mergeCell ref="AI262:AI266"/>
    <mergeCell ref="AJ262:AJ266"/>
    <mergeCell ref="Y262:Y266"/>
    <mergeCell ref="Z262:Z266"/>
    <mergeCell ref="AA262:AA266"/>
    <mergeCell ref="AB262:AB266"/>
    <mergeCell ref="AC262:AC266"/>
    <mergeCell ref="AD262:AD266"/>
    <mergeCell ref="O262:O266"/>
    <mergeCell ref="P262:P266"/>
    <mergeCell ref="Q262:Q264"/>
    <mergeCell ref="R262:R266"/>
    <mergeCell ref="S262:S266"/>
    <mergeCell ref="T262:T264"/>
    <mergeCell ref="AM258:AM260"/>
    <mergeCell ref="AN258:AN260"/>
    <mergeCell ref="AO258:AO260"/>
    <mergeCell ref="AP258:AP260"/>
    <mergeCell ref="AQ258:AQ260"/>
    <mergeCell ref="J262:J264"/>
    <mergeCell ref="K262:K265"/>
    <mergeCell ref="L262:L265"/>
    <mergeCell ref="M262:M265"/>
    <mergeCell ref="N262:N266"/>
    <mergeCell ref="AG258:AG260"/>
    <mergeCell ref="AH258:AH260"/>
    <mergeCell ref="AI258:AI260"/>
    <mergeCell ref="AJ258:AJ260"/>
    <mergeCell ref="AK258:AK260"/>
    <mergeCell ref="AL258:AL260"/>
    <mergeCell ref="AA258:AA260"/>
    <mergeCell ref="AB258:AB260"/>
    <mergeCell ref="AC258:AC260"/>
    <mergeCell ref="AD258:AD260"/>
    <mergeCell ref="AE258:AE260"/>
    <mergeCell ref="AF258:AF260"/>
    <mergeCell ref="P258:P260"/>
    <mergeCell ref="Q258:Q260"/>
    <mergeCell ref="R258:R260"/>
    <mergeCell ref="S258:S260"/>
    <mergeCell ref="Y258:Y260"/>
    <mergeCell ref="Z258:Z260"/>
    <mergeCell ref="J258:J260"/>
    <mergeCell ref="K258:K260"/>
    <mergeCell ref="L258:L260"/>
    <mergeCell ref="M258:M260"/>
    <mergeCell ref="N258:N260"/>
    <mergeCell ref="O258:O260"/>
    <mergeCell ref="J255:J256"/>
    <mergeCell ref="K255:K256"/>
    <mergeCell ref="L255:L256"/>
    <mergeCell ref="M255:M256"/>
    <mergeCell ref="Q255:Q256"/>
    <mergeCell ref="T255:T256"/>
    <mergeCell ref="AO249:AO256"/>
    <mergeCell ref="AP249:AP256"/>
    <mergeCell ref="AQ249:AQ256"/>
    <mergeCell ref="J250:J254"/>
    <mergeCell ref="K250:K254"/>
    <mergeCell ref="L250:L254"/>
    <mergeCell ref="M250:M254"/>
    <mergeCell ref="Q250:Q254"/>
    <mergeCell ref="T250:T254"/>
    <mergeCell ref="U250:U254"/>
    <mergeCell ref="AI249:AI256"/>
    <mergeCell ref="AJ249:AJ256"/>
    <mergeCell ref="AK249:AK256"/>
    <mergeCell ref="AL249:AL256"/>
    <mergeCell ref="AM249:AM256"/>
    <mergeCell ref="AN249:AN256"/>
    <mergeCell ref="AC249:AC256"/>
    <mergeCell ref="AD249:AD256"/>
    <mergeCell ref="AE249:AE256"/>
    <mergeCell ref="AF249:AF256"/>
    <mergeCell ref="AG249:AG256"/>
    <mergeCell ref="AH249:AH256"/>
    <mergeCell ref="AQ245:AQ246"/>
    <mergeCell ref="N249:N256"/>
    <mergeCell ref="O249:O256"/>
    <mergeCell ref="P249:P256"/>
    <mergeCell ref="R249:R256"/>
    <mergeCell ref="S249:S256"/>
    <mergeCell ref="Y249:Y256"/>
    <mergeCell ref="Z249:Z256"/>
    <mergeCell ref="AA249:AA256"/>
    <mergeCell ref="AB249:AB256"/>
    <mergeCell ref="AE239:AE246"/>
    <mergeCell ref="AF239:AF246"/>
    <mergeCell ref="AG239:AG246"/>
    <mergeCell ref="AH239:AH246"/>
    <mergeCell ref="AI239:AI246"/>
    <mergeCell ref="AJ239:AJ246"/>
    <mergeCell ref="Y239:Y246"/>
    <mergeCell ref="Z239:Z246"/>
    <mergeCell ref="AA239:AA246"/>
    <mergeCell ref="AB239:AB246"/>
    <mergeCell ref="M245:M246"/>
    <mergeCell ref="N245:N246"/>
    <mergeCell ref="AQ239:AQ240"/>
    <mergeCell ref="G242:I243"/>
    <mergeCell ref="J242:J243"/>
    <mergeCell ref="K242:K243"/>
    <mergeCell ref="L242:L243"/>
    <mergeCell ref="M242:M243"/>
    <mergeCell ref="N242:N243"/>
    <mergeCell ref="Q242:Q243"/>
    <mergeCell ref="T242:T243"/>
    <mergeCell ref="U242:U243"/>
    <mergeCell ref="AK239:AK246"/>
    <mergeCell ref="AL239:AL246"/>
    <mergeCell ref="AM239:AM246"/>
    <mergeCell ref="AN239:AN246"/>
    <mergeCell ref="AO239:AO240"/>
    <mergeCell ref="AP239:AP240"/>
    <mergeCell ref="AO245:AO246"/>
    <mergeCell ref="AP245:AP246"/>
    <mergeCell ref="G239:I240"/>
    <mergeCell ref="J239:J240"/>
    <mergeCell ref="K239:K240"/>
    <mergeCell ref="L239:L240"/>
    <mergeCell ref="M239:M240"/>
    <mergeCell ref="N239:N240"/>
    <mergeCell ref="AN228:AN236"/>
    <mergeCell ref="AO228:AO236"/>
    <mergeCell ref="AP228:AP236"/>
    <mergeCell ref="AA228:AA236"/>
    <mergeCell ref="AC239:AC246"/>
    <mergeCell ref="AD239:AD246"/>
    <mergeCell ref="O239:O246"/>
    <mergeCell ref="P239:P246"/>
    <mergeCell ref="Q239:Q240"/>
    <mergeCell ref="R239:R246"/>
    <mergeCell ref="S239:S246"/>
    <mergeCell ref="T239:T240"/>
    <mergeCell ref="Q245:Q246"/>
    <mergeCell ref="T245:T246"/>
    <mergeCell ref="G245:I246"/>
    <mergeCell ref="J245:J246"/>
    <mergeCell ref="K245:K246"/>
    <mergeCell ref="L245:L246"/>
    <mergeCell ref="AQ228:AQ236"/>
    <mergeCell ref="J232:J236"/>
    <mergeCell ref="K232:K236"/>
    <mergeCell ref="L232:L236"/>
    <mergeCell ref="M232:M236"/>
    <mergeCell ref="Q232:Q236"/>
    <mergeCell ref="T232:T236"/>
    <mergeCell ref="AH228:AH236"/>
    <mergeCell ref="AI228:AI236"/>
    <mergeCell ref="AJ228:AJ236"/>
    <mergeCell ref="AK228:AK236"/>
    <mergeCell ref="AL228:AL236"/>
    <mergeCell ref="AM228:AM236"/>
    <mergeCell ref="AB228:AB236"/>
    <mergeCell ref="AC228:AC236"/>
    <mergeCell ref="AD228:AD236"/>
    <mergeCell ref="AE228:AE236"/>
    <mergeCell ref="AF228:AF236"/>
    <mergeCell ref="AG228:AG236"/>
    <mergeCell ref="R228:R236"/>
    <mergeCell ref="S228:S236"/>
    <mergeCell ref="T228:T231"/>
    <mergeCell ref="Y228:Y236"/>
    <mergeCell ref="Z228:Z236"/>
    <mergeCell ref="AQ220:AQ227"/>
    <mergeCell ref="T225:T226"/>
    <mergeCell ref="J228:J231"/>
    <mergeCell ref="K228:K231"/>
    <mergeCell ref="L228:L231"/>
    <mergeCell ref="M228:M231"/>
    <mergeCell ref="N228:N236"/>
    <mergeCell ref="O228:O236"/>
    <mergeCell ref="P228:P236"/>
    <mergeCell ref="Q228:Q231"/>
    <mergeCell ref="AK220:AK227"/>
    <mergeCell ref="AL220:AL227"/>
    <mergeCell ref="AM220:AM227"/>
    <mergeCell ref="AN220:AN227"/>
    <mergeCell ref="AO220:AO227"/>
    <mergeCell ref="AP220:AP227"/>
    <mergeCell ref="AE220:AE227"/>
    <mergeCell ref="AF220:AF227"/>
    <mergeCell ref="AG220:AG227"/>
    <mergeCell ref="AH220:AH227"/>
    <mergeCell ref="AI220:AI227"/>
    <mergeCell ref="AJ220:AJ227"/>
    <mergeCell ref="Y220:Y227"/>
    <mergeCell ref="Z220:Z227"/>
    <mergeCell ref="AA220:AA227"/>
    <mergeCell ref="AB220:AB227"/>
    <mergeCell ref="AC220:AC227"/>
    <mergeCell ref="AD220:AD227"/>
    <mergeCell ref="P220:P227"/>
    <mergeCell ref="Q220:Q227"/>
    <mergeCell ref="R220:R227"/>
    <mergeCell ref="S220:S227"/>
    <mergeCell ref="T220:T224"/>
    <mergeCell ref="U220:U221"/>
    <mergeCell ref="J220:J227"/>
    <mergeCell ref="K220:K227"/>
    <mergeCell ref="L220:L227"/>
    <mergeCell ref="M220:M227"/>
    <mergeCell ref="N220:N227"/>
    <mergeCell ref="O220:O227"/>
    <mergeCell ref="AL214:AL218"/>
    <mergeCell ref="AM214:AM218"/>
    <mergeCell ref="AN214:AN218"/>
    <mergeCell ref="Z214:Z218"/>
    <mergeCell ref="AA214:AA218"/>
    <mergeCell ref="AB214:AB218"/>
    <mergeCell ref="AC214:AC218"/>
    <mergeCell ref="AD214:AD218"/>
    <mergeCell ref="AE214:AE218"/>
    <mergeCell ref="P214:P218"/>
    <mergeCell ref="Q214:Q217"/>
    <mergeCell ref="R214:R218"/>
    <mergeCell ref="S214:S218"/>
    <mergeCell ref="T214:T217"/>
    <mergeCell ref="Y214:Y218"/>
    <mergeCell ref="J214:J217"/>
    <mergeCell ref="K214:K217"/>
    <mergeCell ref="L214:L217"/>
    <mergeCell ref="AO214:AO218"/>
    <mergeCell ref="AP214:AP218"/>
    <mergeCell ref="AQ214:AQ218"/>
    <mergeCell ref="AF214:AF218"/>
    <mergeCell ref="AG214:AG218"/>
    <mergeCell ref="AH214:AH218"/>
    <mergeCell ref="AI214:AI218"/>
    <mergeCell ref="AJ214:AJ218"/>
    <mergeCell ref="AK214:AK218"/>
    <mergeCell ref="M214:M217"/>
    <mergeCell ref="N214:N218"/>
    <mergeCell ref="O214:O218"/>
    <mergeCell ref="J205:J212"/>
    <mergeCell ref="K205:K212"/>
    <mergeCell ref="L205:L212"/>
    <mergeCell ref="M205:M212"/>
    <mergeCell ref="Q205:Q212"/>
    <mergeCell ref="T205:T212"/>
    <mergeCell ref="P185:P212"/>
    <mergeCell ref="Q185:Q190"/>
    <mergeCell ref="R185:R212"/>
    <mergeCell ref="S185:S212"/>
    <mergeCell ref="T185:T190"/>
    <mergeCell ref="Y185:Y212"/>
    <mergeCell ref="Q191:Q198"/>
    <mergeCell ref="T191:T198"/>
    <mergeCell ref="J185:J190"/>
    <mergeCell ref="Q199:Q204"/>
    <mergeCell ref="T199:T204"/>
    <mergeCell ref="AL185:AL212"/>
    <mergeCell ref="AM185:AM212"/>
    <mergeCell ref="AN185:AN212"/>
    <mergeCell ref="Z185:Z212"/>
    <mergeCell ref="AA185:AA212"/>
    <mergeCell ref="AB185:AB212"/>
    <mergeCell ref="AC185:AC212"/>
    <mergeCell ref="AD185:AD212"/>
    <mergeCell ref="AE185:AE212"/>
    <mergeCell ref="AO185:AO212"/>
    <mergeCell ref="AP185:AP212"/>
    <mergeCell ref="AQ185:AQ212"/>
    <mergeCell ref="AF185:AF212"/>
    <mergeCell ref="AG185:AG212"/>
    <mergeCell ref="AH185:AH212"/>
    <mergeCell ref="AI185:AI212"/>
    <mergeCell ref="AJ185:AJ212"/>
    <mergeCell ref="AK185:AK212"/>
    <mergeCell ref="K185:K190"/>
    <mergeCell ref="L185:L190"/>
    <mergeCell ref="M185:M190"/>
    <mergeCell ref="N185:N212"/>
    <mergeCell ref="O185:O212"/>
    <mergeCell ref="J191:J198"/>
    <mergeCell ref="K191:K198"/>
    <mergeCell ref="L191:L198"/>
    <mergeCell ref="M191:M198"/>
    <mergeCell ref="J199:J204"/>
    <mergeCell ref="K199:K204"/>
    <mergeCell ref="L199:L204"/>
    <mergeCell ref="M199:M204"/>
    <mergeCell ref="AL171:AL183"/>
    <mergeCell ref="AM171:AM183"/>
    <mergeCell ref="AN171:AN183"/>
    <mergeCell ref="AO171:AO183"/>
    <mergeCell ref="AP171:AP183"/>
    <mergeCell ref="AQ171:AQ183"/>
    <mergeCell ref="AF171:AF183"/>
    <mergeCell ref="AG171:AG183"/>
    <mergeCell ref="AH171:AH183"/>
    <mergeCell ref="AI171:AI183"/>
    <mergeCell ref="AJ171:AJ183"/>
    <mergeCell ref="AK171:AK183"/>
    <mergeCell ref="Z171:Z183"/>
    <mergeCell ref="AA171:AA183"/>
    <mergeCell ref="AB171:AB183"/>
    <mergeCell ref="AC171:AC183"/>
    <mergeCell ref="AD171:AD183"/>
    <mergeCell ref="AE171:AE183"/>
    <mergeCell ref="P171:P183"/>
    <mergeCell ref="Q171:Q174"/>
    <mergeCell ref="R171:R183"/>
    <mergeCell ref="S171:S183"/>
    <mergeCell ref="T171:T174"/>
    <mergeCell ref="Y171:Y183"/>
    <mergeCell ref="U172:U173"/>
    <mergeCell ref="T175:T183"/>
    <mergeCell ref="Q176:Q183"/>
    <mergeCell ref="J171:J174"/>
    <mergeCell ref="K171:K174"/>
    <mergeCell ref="L171:L174"/>
    <mergeCell ref="M171:M174"/>
    <mergeCell ref="N171:N183"/>
    <mergeCell ref="O171:O183"/>
    <mergeCell ref="J176:J183"/>
    <mergeCell ref="K176:K183"/>
    <mergeCell ref="L176:L183"/>
    <mergeCell ref="M176:M183"/>
    <mergeCell ref="AL159:AL169"/>
    <mergeCell ref="AM159:AM169"/>
    <mergeCell ref="AN159:AN169"/>
    <mergeCell ref="AO159:AO169"/>
    <mergeCell ref="AP159:AP169"/>
    <mergeCell ref="AQ159:AQ169"/>
    <mergeCell ref="AF159:AF169"/>
    <mergeCell ref="AG159:AG169"/>
    <mergeCell ref="AH159:AH169"/>
    <mergeCell ref="AI159:AI169"/>
    <mergeCell ref="AJ159:AJ169"/>
    <mergeCell ref="AK159:AK169"/>
    <mergeCell ref="Z159:Z169"/>
    <mergeCell ref="AA159:AA169"/>
    <mergeCell ref="AB159:AB169"/>
    <mergeCell ref="AC159:AC169"/>
    <mergeCell ref="AD159:AD169"/>
    <mergeCell ref="AE159:AE169"/>
    <mergeCell ref="P159:P169"/>
    <mergeCell ref="Q159:Q164"/>
    <mergeCell ref="R159:R169"/>
    <mergeCell ref="S159:S169"/>
    <mergeCell ref="T159:T164"/>
    <mergeCell ref="Y159:Y169"/>
    <mergeCell ref="Q165:Q169"/>
    <mergeCell ref="T165:T169"/>
    <mergeCell ref="S151:S157"/>
    <mergeCell ref="T151:T153"/>
    <mergeCell ref="Y151:Y157"/>
    <mergeCell ref="J159:J164"/>
    <mergeCell ref="K159:K164"/>
    <mergeCell ref="L159:L164"/>
    <mergeCell ref="M159:M164"/>
    <mergeCell ref="N159:N169"/>
    <mergeCell ref="O159:O169"/>
    <mergeCell ref="J165:J169"/>
    <mergeCell ref="K165:K169"/>
    <mergeCell ref="L165:L169"/>
    <mergeCell ref="M165:M169"/>
    <mergeCell ref="P127:P149"/>
    <mergeCell ref="AO151:AO157"/>
    <mergeCell ref="AP151:AP157"/>
    <mergeCell ref="AQ151:AQ157"/>
    <mergeCell ref="AF151:AF157"/>
    <mergeCell ref="AG151:AG157"/>
    <mergeCell ref="AH151:AH157"/>
    <mergeCell ref="AI151:AI157"/>
    <mergeCell ref="AJ151:AJ157"/>
    <mergeCell ref="AK151:AK157"/>
    <mergeCell ref="Q154:Q157"/>
    <mergeCell ref="T154:T157"/>
    <mergeCell ref="AL151:AL157"/>
    <mergeCell ref="AM151:AM157"/>
    <mergeCell ref="AN151:AN157"/>
    <mergeCell ref="Z151:Z157"/>
    <mergeCell ref="AA151:AA157"/>
    <mergeCell ref="AB151:AB157"/>
    <mergeCell ref="AC151:AC157"/>
    <mergeCell ref="AD151:AD157"/>
    <mergeCell ref="AE151:AE157"/>
    <mergeCell ref="P151:P157"/>
    <mergeCell ref="Q151:Q153"/>
    <mergeCell ref="R151:R157"/>
    <mergeCell ref="J151:J153"/>
    <mergeCell ref="K151:K153"/>
    <mergeCell ref="L151:L153"/>
    <mergeCell ref="M151:M153"/>
    <mergeCell ref="N151:N157"/>
    <mergeCell ref="O151:O157"/>
    <mergeCell ref="J127:J149"/>
    <mergeCell ref="K127:K149"/>
    <mergeCell ref="L127:L149"/>
    <mergeCell ref="M127:M149"/>
    <mergeCell ref="O127:O149"/>
    <mergeCell ref="J154:J157"/>
    <mergeCell ref="K154:K157"/>
    <mergeCell ref="L154:L157"/>
    <mergeCell ref="M154:M157"/>
    <mergeCell ref="AL127:AL149"/>
    <mergeCell ref="AM127:AM149"/>
    <mergeCell ref="AN127:AN149"/>
    <mergeCell ref="AO127:AO149"/>
    <mergeCell ref="AP127:AP149"/>
    <mergeCell ref="AQ127:AQ149"/>
    <mergeCell ref="AF127:AF149"/>
    <mergeCell ref="AG127:AG149"/>
    <mergeCell ref="AH127:AH149"/>
    <mergeCell ref="AI127:AI149"/>
    <mergeCell ref="AJ127:AJ149"/>
    <mergeCell ref="AK127:AK149"/>
    <mergeCell ref="Z127:Z149"/>
    <mergeCell ref="AA127:AA149"/>
    <mergeCell ref="AB127:AB149"/>
    <mergeCell ref="AC127:AC149"/>
    <mergeCell ref="AD127:AD149"/>
    <mergeCell ref="AE127:AE149"/>
    <mergeCell ref="Q127:Q149"/>
    <mergeCell ref="R127:R149"/>
    <mergeCell ref="S127:S149"/>
    <mergeCell ref="T127:T136"/>
    <mergeCell ref="U127:U129"/>
    <mergeCell ref="Y127:Y149"/>
    <mergeCell ref="U130:U132"/>
    <mergeCell ref="U134:U136"/>
    <mergeCell ref="T137:T142"/>
    <mergeCell ref="U137:U139"/>
    <mergeCell ref="U140:U142"/>
    <mergeCell ref="T143:T149"/>
    <mergeCell ref="U144:U146"/>
    <mergeCell ref="U147:U149"/>
    <mergeCell ref="AQ105:AQ126"/>
    <mergeCell ref="U108:U109"/>
    <mergeCell ref="U110:U112"/>
    <mergeCell ref="U113:U114"/>
    <mergeCell ref="U115:U116"/>
    <mergeCell ref="U117:U118"/>
    <mergeCell ref="U119:U120"/>
    <mergeCell ref="U121:U122"/>
    <mergeCell ref="U123:U124"/>
    <mergeCell ref="U125:U126"/>
    <mergeCell ref="AK105:AK126"/>
    <mergeCell ref="AL105:AL126"/>
    <mergeCell ref="AM105:AM126"/>
    <mergeCell ref="AN105:AN126"/>
    <mergeCell ref="AO105:AO126"/>
    <mergeCell ref="AP105:AP126"/>
    <mergeCell ref="AE105:AE126"/>
    <mergeCell ref="AF105:AF126"/>
    <mergeCell ref="AG105:AG126"/>
    <mergeCell ref="AH105:AH126"/>
    <mergeCell ref="AI105:AI126"/>
    <mergeCell ref="AJ105:AJ126"/>
    <mergeCell ref="Y105:Y126"/>
    <mergeCell ref="Z105:Z126"/>
    <mergeCell ref="AA105:AA126"/>
    <mergeCell ref="AB105:AB126"/>
    <mergeCell ref="AC105:AC126"/>
    <mergeCell ref="AD105:AD126"/>
    <mergeCell ref="P105:P125"/>
    <mergeCell ref="Q105:Q118"/>
    <mergeCell ref="R105:R126"/>
    <mergeCell ref="S105:S125"/>
    <mergeCell ref="T105:T118"/>
    <mergeCell ref="U105:U107"/>
    <mergeCell ref="Q119:Q126"/>
    <mergeCell ref="T119:T126"/>
    <mergeCell ref="J105:J118"/>
    <mergeCell ref="K105:K118"/>
    <mergeCell ref="L105:L118"/>
    <mergeCell ref="M105:M118"/>
    <mergeCell ref="N105:N126"/>
    <mergeCell ref="O105:O126"/>
    <mergeCell ref="J119:J126"/>
    <mergeCell ref="K119:K126"/>
    <mergeCell ref="L119:L126"/>
    <mergeCell ref="M119:M126"/>
    <mergeCell ref="AL97:AL104"/>
    <mergeCell ref="AM97:AM104"/>
    <mergeCell ref="AN97:AN104"/>
    <mergeCell ref="AO97:AO104"/>
    <mergeCell ref="AP97:AP104"/>
    <mergeCell ref="AQ97:AQ104"/>
    <mergeCell ref="AF97:AF104"/>
    <mergeCell ref="AG97:AG104"/>
    <mergeCell ref="AH97:AH104"/>
    <mergeCell ref="AI97:AI104"/>
    <mergeCell ref="AJ97:AJ104"/>
    <mergeCell ref="AK97:AK104"/>
    <mergeCell ref="Z97:Z104"/>
    <mergeCell ref="AA97:AA104"/>
    <mergeCell ref="AB97:AB104"/>
    <mergeCell ref="AC97:AC104"/>
    <mergeCell ref="AD97:AD104"/>
    <mergeCell ref="AE97:AE104"/>
    <mergeCell ref="P97:P104"/>
    <mergeCell ref="Q97:Q100"/>
    <mergeCell ref="R97:R104"/>
    <mergeCell ref="S97:S104"/>
    <mergeCell ref="T97:T100"/>
    <mergeCell ref="Y97:Y104"/>
    <mergeCell ref="Q101:Q104"/>
    <mergeCell ref="T101:T104"/>
    <mergeCell ref="J97:J100"/>
    <mergeCell ref="K97:K100"/>
    <mergeCell ref="L97:L100"/>
    <mergeCell ref="M97:M100"/>
    <mergeCell ref="N97:N104"/>
    <mergeCell ref="O97:O104"/>
    <mergeCell ref="J101:J104"/>
    <mergeCell ref="K101:K104"/>
    <mergeCell ref="L101:L104"/>
    <mergeCell ref="M101:M104"/>
    <mergeCell ref="P85:P95"/>
    <mergeCell ref="Q85:Q88"/>
    <mergeCell ref="R85:R95"/>
    <mergeCell ref="S85:S95"/>
    <mergeCell ref="T85:T88"/>
    <mergeCell ref="Y85:Y95"/>
    <mergeCell ref="Q89:Q92"/>
    <mergeCell ref="T89:T92"/>
    <mergeCell ref="J85:J88"/>
    <mergeCell ref="Q93:Q95"/>
    <mergeCell ref="T93:T95"/>
    <mergeCell ref="AL85:AL95"/>
    <mergeCell ref="AM85:AM95"/>
    <mergeCell ref="AN85:AN95"/>
    <mergeCell ref="Z85:Z95"/>
    <mergeCell ref="AA85:AA95"/>
    <mergeCell ref="AB85:AB95"/>
    <mergeCell ref="AC85:AC95"/>
    <mergeCell ref="AD85:AD95"/>
    <mergeCell ref="AE85:AE95"/>
    <mergeCell ref="AO85:AO95"/>
    <mergeCell ref="AP85:AP95"/>
    <mergeCell ref="AQ85:AQ95"/>
    <mergeCell ref="AF85:AF95"/>
    <mergeCell ref="AG85:AG95"/>
    <mergeCell ref="AH85:AH95"/>
    <mergeCell ref="AI85:AI95"/>
    <mergeCell ref="AJ85:AJ95"/>
    <mergeCell ref="AK85:AK95"/>
    <mergeCell ref="K85:K88"/>
    <mergeCell ref="L85:L88"/>
    <mergeCell ref="M85:M88"/>
    <mergeCell ref="N85:N95"/>
    <mergeCell ref="O85:O95"/>
    <mergeCell ref="J89:J92"/>
    <mergeCell ref="K89:K92"/>
    <mergeCell ref="L89:L92"/>
    <mergeCell ref="M89:M92"/>
    <mergeCell ref="J93:J95"/>
    <mergeCell ref="K93:K95"/>
    <mergeCell ref="L93:L95"/>
    <mergeCell ref="M93:M95"/>
    <mergeCell ref="P65:P83"/>
    <mergeCell ref="Q65:Q73"/>
    <mergeCell ref="R65:R83"/>
    <mergeCell ref="S65:S83"/>
    <mergeCell ref="T65:T73"/>
    <mergeCell ref="Y65:Y83"/>
    <mergeCell ref="Q74:Q78"/>
    <mergeCell ref="T74:T78"/>
    <mergeCell ref="J65:J73"/>
    <mergeCell ref="Q79:Q83"/>
    <mergeCell ref="T79:T83"/>
    <mergeCell ref="AL65:AL83"/>
    <mergeCell ref="AM65:AM83"/>
    <mergeCell ref="AN65:AN83"/>
    <mergeCell ref="Z65:Z83"/>
    <mergeCell ref="AA65:AA83"/>
    <mergeCell ref="AB65:AB83"/>
    <mergeCell ref="AC65:AC83"/>
    <mergeCell ref="AD65:AD83"/>
    <mergeCell ref="AE65:AE83"/>
    <mergeCell ref="AO65:AO83"/>
    <mergeCell ref="AP65:AP83"/>
    <mergeCell ref="AQ65:AQ83"/>
    <mergeCell ref="AF65:AF83"/>
    <mergeCell ref="AG65:AG83"/>
    <mergeCell ref="AH65:AH83"/>
    <mergeCell ref="AI65:AI83"/>
    <mergeCell ref="AJ65:AJ83"/>
    <mergeCell ref="AK65:AK83"/>
    <mergeCell ref="K65:K73"/>
    <mergeCell ref="L65:L73"/>
    <mergeCell ref="M65:M73"/>
    <mergeCell ref="N65:N83"/>
    <mergeCell ref="O65:O83"/>
    <mergeCell ref="J74:J78"/>
    <mergeCell ref="K74:K78"/>
    <mergeCell ref="L74:L78"/>
    <mergeCell ref="M74:M78"/>
    <mergeCell ref="J79:J83"/>
    <mergeCell ref="K79:K83"/>
    <mergeCell ref="L79:L83"/>
    <mergeCell ref="M79:M83"/>
    <mergeCell ref="AL38:AL63"/>
    <mergeCell ref="AM38:AM63"/>
    <mergeCell ref="AN38:AN63"/>
    <mergeCell ref="AO38:AO63"/>
    <mergeCell ref="AP38:AP63"/>
    <mergeCell ref="AQ38:AQ63"/>
    <mergeCell ref="AF38:AF63"/>
    <mergeCell ref="AG38:AG63"/>
    <mergeCell ref="AH38:AH63"/>
    <mergeCell ref="AI38:AI63"/>
    <mergeCell ref="AJ38:AJ63"/>
    <mergeCell ref="AK38:AK63"/>
    <mergeCell ref="Z38:Z63"/>
    <mergeCell ref="AA38:AA63"/>
    <mergeCell ref="AB38:AB63"/>
    <mergeCell ref="AC38:AC63"/>
    <mergeCell ref="AD38:AD63"/>
    <mergeCell ref="AE38:AE63"/>
    <mergeCell ref="P38:P63"/>
    <mergeCell ref="Q38:Q41"/>
    <mergeCell ref="R38:R63"/>
    <mergeCell ref="S38:S63"/>
    <mergeCell ref="T38:T46"/>
    <mergeCell ref="Y38:Y63"/>
    <mergeCell ref="Q42:Q46"/>
    <mergeCell ref="Q59:Q63"/>
    <mergeCell ref="Q47:Q58"/>
    <mergeCell ref="T47:T63"/>
    <mergeCell ref="J38:J41"/>
    <mergeCell ref="K38:K41"/>
    <mergeCell ref="L38:L41"/>
    <mergeCell ref="M38:M41"/>
    <mergeCell ref="N38:N63"/>
    <mergeCell ref="O38:O63"/>
    <mergeCell ref="J42:J46"/>
    <mergeCell ref="K42:K46"/>
    <mergeCell ref="L42:L46"/>
    <mergeCell ref="M42:M46"/>
    <mergeCell ref="J47:J58"/>
    <mergeCell ref="K47:K58"/>
    <mergeCell ref="L47:L58"/>
    <mergeCell ref="M47:M58"/>
    <mergeCell ref="J59:J63"/>
    <mergeCell ref="K59:K63"/>
    <mergeCell ref="L59:L63"/>
    <mergeCell ref="M59:M63"/>
    <mergeCell ref="J34:J36"/>
    <mergeCell ref="K34:K36"/>
    <mergeCell ref="L34:L36"/>
    <mergeCell ref="M34:M36"/>
    <mergeCell ref="Q34:Q36"/>
    <mergeCell ref="T34:T36"/>
    <mergeCell ref="AL33:AL36"/>
    <mergeCell ref="AM33:AM36"/>
    <mergeCell ref="AN33:AN36"/>
    <mergeCell ref="Z33:Z36"/>
    <mergeCell ref="AA33:AA36"/>
    <mergeCell ref="AB33:AB36"/>
    <mergeCell ref="AC33:AC36"/>
    <mergeCell ref="AD33:AD36"/>
    <mergeCell ref="AE33:AE36"/>
    <mergeCell ref="N33:N36"/>
    <mergeCell ref="O33:O36"/>
    <mergeCell ref="P33:P36"/>
    <mergeCell ref="R33:R36"/>
    <mergeCell ref="S33:S36"/>
    <mergeCell ref="Y33:Y36"/>
    <mergeCell ref="L19:L23"/>
    <mergeCell ref="M19:M23"/>
    <mergeCell ref="Q19:Q23"/>
    <mergeCell ref="T19:T23"/>
    <mergeCell ref="AO33:AO36"/>
    <mergeCell ref="AP33:AP36"/>
    <mergeCell ref="AQ33:AQ36"/>
    <mergeCell ref="AF33:AF36"/>
    <mergeCell ref="AG33:AG36"/>
    <mergeCell ref="AH33:AH36"/>
    <mergeCell ref="AI33:AI36"/>
    <mergeCell ref="AJ33:AJ36"/>
    <mergeCell ref="AK33:AK36"/>
    <mergeCell ref="AL12:AL30"/>
    <mergeCell ref="AM12:AM30"/>
    <mergeCell ref="AN12:AN30"/>
    <mergeCell ref="AO12:AO30"/>
    <mergeCell ref="AP12:AP30"/>
    <mergeCell ref="AQ12:AQ30"/>
    <mergeCell ref="AF12:AF30"/>
    <mergeCell ref="AG12:AG30"/>
    <mergeCell ref="AH12:AH30"/>
    <mergeCell ref="AI12:AI30"/>
    <mergeCell ref="AJ12:AJ30"/>
    <mergeCell ref="AK12:AK30"/>
    <mergeCell ref="AA12:AA30"/>
    <mergeCell ref="AB12:AB30"/>
    <mergeCell ref="AC12:AC30"/>
    <mergeCell ref="AD12:AD30"/>
    <mergeCell ref="AE12:AE30"/>
    <mergeCell ref="P12:P30"/>
    <mergeCell ref="Q12:Q18"/>
    <mergeCell ref="R12:R30"/>
    <mergeCell ref="S12:S30"/>
    <mergeCell ref="T12:T18"/>
    <mergeCell ref="Y12:Y30"/>
    <mergeCell ref="Q24:Q30"/>
    <mergeCell ref="T24:T30"/>
    <mergeCell ref="J12:J18"/>
    <mergeCell ref="K12:K18"/>
    <mergeCell ref="L12:L18"/>
    <mergeCell ref="M12:M18"/>
    <mergeCell ref="N12:N30"/>
    <mergeCell ref="O12:O30"/>
    <mergeCell ref="W7:W8"/>
    <mergeCell ref="X7:X8"/>
    <mergeCell ref="Y7:Z7"/>
    <mergeCell ref="Q7:Q8"/>
    <mergeCell ref="R7:R8"/>
    <mergeCell ref="S7:S8"/>
    <mergeCell ref="T7:T8"/>
    <mergeCell ref="U7:U8"/>
    <mergeCell ref="V7:V8"/>
    <mergeCell ref="K7:K8"/>
    <mergeCell ref="L7:L8"/>
    <mergeCell ref="Z12:Z30"/>
    <mergeCell ref="J24:J30"/>
    <mergeCell ref="K24:K30"/>
    <mergeCell ref="L24:L30"/>
    <mergeCell ref="M24:M30"/>
    <mergeCell ref="J19:J23"/>
    <mergeCell ref="K19:K23"/>
    <mergeCell ref="M7:M8"/>
    <mergeCell ref="N7:N8"/>
    <mergeCell ref="O7:O8"/>
    <mergeCell ref="P7:P8"/>
    <mergeCell ref="A1:AO4"/>
    <mergeCell ref="A5:O6"/>
    <mergeCell ref="P5:AQ6"/>
    <mergeCell ref="A7:A8"/>
    <mergeCell ref="B7:C8"/>
    <mergeCell ref="D7:D8"/>
    <mergeCell ref="E7:F8"/>
    <mergeCell ref="G7:G8"/>
    <mergeCell ref="H7:I8"/>
    <mergeCell ref="J7:J8"/>
    <mergeCell ref="AN7:AN8"/>
    <mergeCell ref="AO7:AO8"/>
    <mergeCell ref="AP7:AP8"/>
    <mergeCell ref="AQ7:AQ8"/>
    <mergeCell ref="AA7:AD7"/>
    <mergeCell ref="AE7:AJ7"/>
    <mergeCell ref="AK7:AM7"/>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WX54"/>
  <sheetViews>
    <sheetView showGridLines="0" zoomScale="60" zoomScaleNormal="60" workbookViewId="0">
      <selection activeCell="L16" sqref="L16"/>
    </sheetView>
  </sheetViews>
  <sheetFormatPr baseColWidth="10" defaultColWidth="11.42578125" defaultRowHeight="14.25" x14ac:dyDescent="0.2"/>
  <cols>
    <col min="1" max="1" width="12.85546875" style="1297" customWidth="1"/>
    <col min="2" max="2" width="4" style="1165" customWidth="1"/>
    <col min="3" max="3" width="22" style="1165" customWidth="1"/>
    <col min="4" max="4" width="17.28515625" style="1165" customWidth="1"/>
    <col min="5" max="5" width="6.42578125" style="1165" customWidth="1"/>
    <col min="6" max="6" width="13.7109375" style="1165" customWidth="1"/>
    <col min="7" max="7" width="12.7109375" style="1165" customWidth="1"/>
    <col min="8" max="8" width="4.5703125" style="1165" customWidth="1"/>
    <col min="9" max="9" width="15.140625" style="1165" customWidth="1"/>
    <col min="10" max="10" width="15.85546875" style="1165" customWidth="1"/>
    <col min="11" max="11" width="25.7109375" style="370" customWidth="1"/>
    <col min="12" max="12" width="18.7109375" style="1229" customWidth="1"/>
    <col min="13" max="13" width="18.5703125" style="1229" customWidth="1"/>
    <col min="14" max="14" width="27.7109375" style="1229" customWidth="1"/>
    <col min="15" max="15" width="18" style="1298" customWidth="1"/>
    <col min="16" max="16" width="17" style="370" customWidth="1"/>
    <col min="17" max="17" width="12.7109375" style="1299" customWidth="1"/>
    <col min="18" max="18" width="24.5703125" style="373" customWidth="1"/>
    <col min="19" max="19" width="29" style="370" customWidth="1"/>
    <col min="20" max="20" width="21.28515625" style="370" customWidth="1"/>
    <col min="21" max="21" width="36.42578125" style="370" customWidth="1"/>
    <col min="22" max="22" width="27.42578125" style="1303" customWidth="1"/>
    <col min="23" max="23" width="17.42578125" style="374" customWidth="1"/>
    <col min="24" max="24" width="26.28515625" style="173" customWidth="1"/>
    <col min="25" max="25" width="9.28515625" style="1165" bestFit="1" customWidth="1"/>
    <col min="26" max="26" width="9.42578125" style="1165" bestFit="1" customWidth="1"/>
    <col min="27" max="28" width="7.7109375" style="1165" bestFit="1" customWidth="1"/>
    <col min="29" max="29" width="8.42578125" style="1165" bestFit="1" customWidth="1"/>
    <col min="30" max="30" width="7.7109375" style="1165" bestFit="1" customWidth="1"/>
    <col min="31" max="31" width="5.5703125" style="1165" bestFit="1" customWidth="1"/>
    <col min="32" max="32" width="7.7109375" style="1165" bestFit="1" customWidth="1"/>
    <col min="33" max="36" width="4.5703125" style="1165" bestFit="1" customWidth="1"/>
    <col min="37" max="37" width="6.28515625" style="1165" bestFit="1" customWidth="1"/>
    <col min="38" max="38" width="4.5703125" style="1165" bestFit="1" customWidth="1"/>
    <col min="39" max="39" width="8.7109375" style="1165" bestFit="1" customWidth="1"/>
    <col min="40" max="40" width="10.28515625" style="1165" customWidth="1"/>
    <col min="41" max="41" width="19.85546875" style="375" customWidth="1"/>
    <col min="42" max="42" width="20.140625" style="1302" customWidth="1"/>
    <col min="43" max="43" width="23.7109375" style="1165" bestFit="1" customWidth="1"/>
    <col min="44" max="255" width="11.42578125" style="1165"/>
    <col min="256" max="256" width="13.140625" style="1165" customWidth="1"/>
    <col min="257" max="257" width="4" style="1165" customWidth="1"/>
    <col min="258" max="258" width="12.85546875" style="1165" customWidth="1"/>
    <col min="259" max="259" width="14.7109375" style="1165" customWidth="1"/>
    <col min="260" max="260" width="10" style="1165" customWidth="1"/>
    <col min="261" max="261" width="6.28515625" style="1165" customWidth="1"/>
    <col min="262" max="262" width="12.28515625" style="1165" customWidth="1"/>
    <col min="263" max="263" width="8.5703125" style="1165" customWidth="1"/>
    <col min="264" max="264" width="13.7109375" style="1165" customWidth="1"/>
    <col min="265" max="265" width="11.5703125" style="1165" customWidth="1"/>
    <col min="266" max="266" width="34.28515625" style="1165" customWidth="1"/>
    <col min="267" max="267" width="24.28515625" style="1165" customWidth="1"/>
    <col min="268" max="268" width="21.140625" style="1165" customWidth="1"/>
    <col min="269" max="269" width="22.140625" style="1165" customWidth="1"/>
    <col min="270" max="270" width="8" style="1165" customWidth="1"/>
    <col min="271" max="271" width="17" style="1165" customWidth="1"/>
    <col min="272" max="272" width="12.7109375" style="1165" customWidth="1"/>
    <col min="273" max="273" width="24.5703125" style="1165" customWidth="1"/>
    <col min="274" max="274" width="29" style="1165" customWidth="1"/>
    <col min="275" max="275" width="17.7109375" style="1165" customWidth="1"/>
    <col min="276" max="276" width="36.42578125" style="1165" customWidth="1"/>
    <col min="277" max="277" width="21.85546875" style="1165" customWidth="1"/>
    <col min="278" max="278" width="11.7109375" style="1165" customWidth="1"/>
    <col min="279" max="279" width="26.28515625" style="1165" customWidth="1"/>
    <col min="280" max="280" width="9" style="1165" customWidth="1"/>
    <col min="281" max="281" width="6.28515625" style="1165" customWidth="1"/>
    <col min="282" max="283" width="7.28515625" style="1165" customWidth="1"/>
    <col min="284" max="284" width="8.42578125" style="1165" customWidth="1"/>
    <col min="285" max="285" width="9.5703125" style="1165" customWidth="1"/>
    <col min="286" max="286" width="6.28515625" style="1165" customWidth="1"/>
    <col min="287" max="287" width="5.85546875" style="1165" customWidth="1"/>
    <col min="288" max="289" width="4.42578125" style="1165" customWidth="1"/>
    <col min="290" max="290" width="5" style="1165" customWidth="1"/>
    <col min="291" max="291" width="5.85546875" style="1165" customWidth="1"/>
    <col min="292" max="292" width="6.140625" style="1165" customWidth="1"/>
    <col min="293" max="293" width="6.28515625" style="1165" customWidth="1"/>
    <col min="294" max="294" width="11.140625" style="1165" customWidth="1"/>
    <col min="295" max="295" width="14.140625" style="1165" customWidth="1"/>
    <col min="296" max="296" width="19.85546875" style="1165" customWidth="1"/>
    <col min="297" max="297" width="17" style="1165" customWidth="1"/>
    <col min="298" max="298" width="20.85546875" style="1165" customWidth="1"/>
    <col min="299" max="511" width="11.42578125" style="1165"/>
    <col min="512" max="512" width="13.140625" style="1165" customWidth="1"/>
    <col min="513" max="513" width="4" style="1165" customWidth="1"/>
    <col min="514" max="514" width="12.85546875" style="1165" customWidth="1"/>
    <col min="515" max="515" width="14.7109375" style="1165" customWidth="1"/>
    <col min="516" max="516" width="10" style="1165" customWidth="1"/>
    <col min="517" max="517" width="6.28515625" style="1165" customWidth="1"/>
    <col min="518" max="518" width="12.28515625" style="1165" customWidth="1"/>
    <col min="519" max="519" width="8.5703125" style="1165" customWidth="1"/>
    <col min="520" max="520" width="13.7109375" style="1165" customWidth="1"/>
    <col min="521" max="521" width="11.5703125" style="1165" customWidth="1"/>
    <col min="522" max="522" width="34.28515625" style="1165" customWidth="1"/>
    <col min="523" max="523" width="24.28515625" style="1165" customWidth="1"/>
    <col min="524" max="524" width="21.140625" style="1165" customWidth="1"/>
    <col min="525" max="525" width="22.140625" style="1165" customWidth="1"/>
    <col min="526" max="526" width="8" style="1165" customWidth="1"/>
    <col min="527" max="527" width="17" style="1165" customWidth="1"/>
    <col min="528" max="528" width="12.7109375" style="1165" customWidth="1"/>
    <col min="529" max="529" width="24.5703125" style="1165" customWidth="1"/>
    <col min="530" max="530" width="29" style="1165" customWidth="1"/>
    <col min="531" max="531" width="17.7109375" style="1165" customWidth="1"/>
    <col min="532" max="532" width="36.42578125" style="1165" customWidth="1"/>
    <col min="533" max="533" width="21.85546875" style="1165" customWidth="1"/>
    <col min="534" max="534" width="11.7109375" style="1165" customWidth="1"/>
    <col min="535" max="535" width="26.28515625" style="1165" customWidth="1"/>
    <col min="536" max="536" width="9" style="1165" customWidth="1"/>
    <col min="537" max="537" width="6.28515625" style="1165" customWidth="1"/>
    <col min="538" max="539" width="7.28515625" style="1165" customWidth="1"/>
    <col min="540" max="540" width="8.42578125" style="1165" customWidth="1"/>
    <col min="541" max="541" width="9.5703125" style="1165" customWidth="1"/>
    <col min="542" max="542" width="6.28515625" style="1165" customWidth="1"/>
    <col min="543" max="543" width="5.85546875" style="1165" customWidth="1"/>
    <col min="544" max="545" width="4.42578125" style="1165" customWidth="1"/>
    <col min="546" max="546" width="5" style="1165" customWidth="1"/>
    <col min="547" max="547" width="5.85546875" style="1165" customWidth="1"/>
    <col min="548" max="548" width="6.140625" style="1165" customWidth="1"/>
    <col min="549" max="549" width="6.28515625" style="1165" customWidth="1"/>
    <col min="550" max="550" width="11.140625" style="1165" customWidth="1"/>
    <col min="551" max="551" width="14.140625" style="1165" customWidth="1"/>
    <col min="552" max="552" width="19.85546875" style="1165" customWidth="1"/>
    <col min="553" max="553" width="17" style="1165" customWidth="1"/>
    <col min="554" max="554" width="20.85546875" style="1165" customWidth="1"/>
    <col min="555" max="767" width="11.42578125" style="1165"/>
    <col min="768" max="768" width="13.140625" style="1165" customWidth="1"/>
    <col min="769" max="769" width="4" style="1165" customWidth="1"/>
    <col min="770" max="770" width="12.85546875" style="1165" customWidth="1"/>
    <col min="771" max="771" width="14.7109375" style="1165" customWidth="1"/>
    <col min="772" max="772" width="10" style="1165" customWidth="1"/>
    <col min="773" max="773" width="6.28515625" style="1165" customWidth="1"/>
    <col min="774" max="774" width="12.28515625" style="1165" customWidth="1"/>
    <col min="775" max="775" width="8.5703125" style="1165" customWidth="1"/>
    <col min="776" max="776" width="13.7109375" style="1165" customWidth="1"/>
    <col min="777" max="777" width="11.5703125" style="1165" customWidth="1"/>
    <col min="778" max="778" width="34.28515625" style="1165" customWidth="1"/>
    <col min="779" max="779" width="24.28515625" style="1165" customWidth="1"/>
    <col min="780" max="780" width="21.140625" style="1165" customWidth="1"/>
    <col min="781" max="781" width="22.140625" style="1165" customWidth="1"/>
    <col min="782" max="782" width="8" style="1165" customWidth="1"/>
    <col min="783" max="783" width="17" style="1165" customWidth="1"/>
    <col min="784" max="784" width="12.7109375" style="1165" customWidth="1"/>
    <col min="785" max="785" width="24.5703125" style="1165" customWidth="1"/>
    <col min="786" max="786" width="29" style="1165" customWidth="1"/>
    <col min="787" max="787" width="17.7109375" style="1165" customWidth="1"/>
    <col min="788" max="788" width="36.42578125" style="1165" customWidth="1"/>
    <col min="789" max="789" width="21.85546875" style="1165" customWidth="1"/>
    <col min="790" max="790" width="11.7109375" style="1165" customWidth="1"/>
    <col min="791" max="791" width="26.28515625" style="1165" customWidth="1"/>
    <col min="792" max="792" width="9" style="1165" customWidth="1"/>
    <col min="793" max="793" width="6.28515625" style="1165" customWidth="1"/>
    <col min="794" max="795" width="7.28515625" style="1165" customWidth="1"/>
    <col min="796" max="796" width="8.42578125" style="1165" customWidth="1"/>
    <col min="797" max="797" width="9.5703125" style="1165" customWidth="1"/>
    <col min="798" max="798" width="6.28515625" style="1165" customWidth="1"/>
    <col min="799" max="799" width="5.85546875" style="1165" customWidth="1"/>
    <col min="800" max="801" width="4.42578125" style="1165" customWidth="1"/>
    <col min="802" max="802" width="5" style="1165" customWidth="1"/>
    <col min="803" max="803" width="5.85546875" style="1165" customWidth="1"/>
    <col min="804" max="804" width="6.140625" style="1165" customWidth="1"/>
    <col min="805" max="805" width="6.28515625" style="1165" customWidth="1"/>
    <col min="806" max="806" width="11.140625" style="1165" customWidth="1"/>
    <col min="807" max="807" width="14.140625" style="1165" customWidth="1"/>
    <col min="808" max="808" width="19.85546875" style="1165" customWidth="1"/>
    <col min="809" max="809" width="17" style="1165" customWidth="1"/>
    <col min="810" max="810" width="20.85546875" style="1165" customWidth="1"/>
    <col min="811" max="1023" width="11.42578125" style="1165"/>
    <col min="1024" max="1024" width="13.140625" style="1165" customWidth="1"/>
    <col min="1025" max="1025" width="4" style="1165" customWidth="1"/>
    <col min="1026" max="1026" width="12.85546875" style="1165" customWidth="1"/>
    <col min="1027" max="1027" width="14.7109375" style="1165" customWidth="1"/>
    <col min="1028" max="1028" width="10" style="1165" customWidth="1"/>
    <col min="1029" max="1029" width="6.28515625" style="1165" customWidth="1"/>
    <col min="1030" max="1030" width="12.28515625" style="1165" customWidth="1"/>
    <col min="1031" max="1031" width="8.5703125" style="1165" customWidth="1"/>
    <col min="1032" max="1032" width="13.7109375" style="1165" customWidth="1"/>
    <col min="1033" max="1033" width="11.5703125" style="1165" customWidth="1"/>
    <col min="1034" max="1034" width="34.28515625" style="1165" customWidth="1"/>
    <col min="1035" max="1035" width="24.28515625" style="1165" customWidth="1"/>
    <col min="1036" max="1036" width="21.140625" style="1165" customWidth="1"/>
    <col min="1037" max="1037" width="22.140625" style="1165" customWidth="1"/>
    <col min="1038" max="1038" width="8" style="1165" customWidth="1"/>
    <col min="1039" max="1039" width="17" style="1165" customWidth="1"/>
    <col min="1040" max="1040" width="12.7109375" style="1165" customWidth="1"/>
    <col min="1041" max="1041" width="24.5703125" style="1165" customWidth="1"/>
    <col min="1042" max="1042" width="29" style="1165" customWidth="1"/>
    <col min="1043" max="1043" width="17.7109375" style="1165" customWidth="1"/>
    <col min="1044" max="1044" width="36.42578125" style="1165" customWidth="1"/>
    <col min="1045" max="1045" width="21.85546875" style="1165" customWidth="1"/>
    <col min="1046" max="1046" width="11.7109375" style="1165" customWidth="1"/>
    <col min="1047" max="1047" width="26.28515625" style="1165" customWidth="1"/>
    <col min="1048" max="1048" width="9" style="1165" customWidth="1"/>
    <col min="1049" max="1049" width="6.28515625" style="1165" customWidth="1"/>
    <col min="1050" max="1051" width="7.28515625" style="1165" customWidth="1"/>
    <col min="1052" max="1052" width="8.42578125" style="1165" customWidth="1"/>
    <col min="1053" max="1053" width="9.5703125" style="1165" customWidth="1"/>
    <col min="1054" max="1054" width="6.28515625" style="1165" customWidth="1"/>
    <col min="1055" max="1055" width="5.85546875" style="1165" customWidth="1"/>
    <col min="1056" max="1057" width="4.42578125" style="1165" customWidth="1"/>
    <col min="1058" max="1058" width="5" style="1165" customWidth="1"/>
    <col min="1059" max="1059" width="5.85546875" style="1165" customWidth="1"/>
    <col min="1060" max="1060" width="6.140625" style="1165" customWidth="1"/>
    <col min="1061" max="1061" width="6.28515625" style="1165" customWidth="1"/>
    <col min="1062" max="1062" width="11.140625" style="1165" customWidth="1"/>
    <col min="1063" max="1063" width="14.140625" style="1165" customWidth="1"/>
    <col min="1064" max="1064" width="19.85546875" style="1165" customWidth="1"/>
    <col min="1065" max="1065" width="17" style="1165" customWidth="1"/>
    <col min="1066" max="1066" width="20.85546875" style="1165" customWidth="1"/>
    <col min="1067" max="1279" width="11.42578125" style="1165"/>
    <col min="1280" max="1280" width="13.140625" style="1165" customWidth="1"/>
    <col min="1281" max="1281" width="4" style="1165" customWidth="1"/>
    <col min="1282" max="1282" width="12.85546875" style="1165" customWidth="1"/>
    <col min="1283" max="1283" width="14.7109375" style="1165" customWidth="1"/>
    <col min="1284" max="1284" width="10" style="1165" customWidth="1"/>
    <col min="1285" max="1285" width="6.28515625" style="1165" customWidth="1"/>
    <col min="1286" max="1286" width="12.28515625" style="1165" customWidth="1"/>
    <col min="1287" max="1287" width="8.5703125" style="1165" customWidth="1"/>
    <col min="1288" max="1288" width="13.7109375" style="1165" customWidth="1"/>
    <col min="1289" max="1289" width="11.5703125" style="1165" customWidth="1"/>
    <col min="1290" max="1290" width="34.28515625" style="1165" customWidth="1"/>
    <col min="1291" max="1291" width="24.28515625" style="1165" customWidth="1"/>
    <col min="1292" max="1292" width="21.140625" style="1165" customWidth="1"/>
    <col min="1293" max="1293" width="22.140625" style="1165" customWidth="1"/>
    <col min="1294" max="1294" width="8" style="1165" customWidth="1"/>
    <col min="1295" max="1295" width="17" style="1165" customWidth="1"/>
    <col min="1296" max="1296" width="12.7109375" style="1165" customWidth="1"/>
    <col min="1297" max="1297" width="24.5703125" style="1165" customWidth="1"/>
    <col min="1298" max="1298" width="29" style="1165" customWidth="1"/>
    <col min="1299" max="1299" width="17.7109375" style="1165" customWidth="1"/>
    <col min="1300" max="1300" width="36.42578125" style="1165" customWidth="1"/>
    <col min="1301" max="1301" width="21.85546875" style="1165" customWidth="1"/>
    <col min="1302" max="1302" width="11.7109375" style="1165" customWidth="1"/>
    <col min="1303" max="1303" width="26.28515625" style="1165" customWidth="1"/>
    <col min="1304" max="1304" width="9" style="1165" customWidth="1"/>
    <col min="1305" max="1305" width="6.28515625" style="1165" customWidth="1"/>
    <col min="1306" max="1307" width="7.28515625" style="1165" customWidth="1"/>
    <col min="1308" max="1308" width="8.42578125" style="1165" customWidth="1"/>
    <col min="1309" max="1309" width="9.5703125" style="1165" customWidth="1"/>
    <col min="1310" max="1310" width="6.28515625" style="1165" customWidth="1"/>
    <col min="1311" max="1311" width="5.85546875" style="1165" customWidth="1"/>
    <col min="1312" max="1313" width="4.42578125" style="1165" customWidth="1"/>
    <col min="1314" max="1314" width="5" style="1165" customWidth="1"/>
    <col min="1315" max="1315" width="5.85546875" style="1165" customWidth="1"/>
    <col min="1316" max="1316" width="6.140625" style="1165" customWidth="1"/>
    <col min="1317" max="1317" width="6.28515625" style="1165" customWidth="1"/>
    <col min="1318" max="1318" width="11.140625" style="1165" customWidth="1"/>
    <col min="1319" max="1319" width="14.140625" style="1165" customWidth="1"/>
    <col min="1320" max="1320" width="19.85546875" style="1165" customWidth="1"/>
    <col min="1321" max="1321" width="17" style="1165" customWidth="1"/>
    <col min="1322" max="1322" width="20.85546875" style="1165" customWidth="1"/>
    <col min="1323" max="1535" width="11.42578125" style="1165"/>
    <col min="1536" max="1536" width="13.140625" style="1165" customWidth="1"/>
    <col min="1537" max="1537" width="4" style="1165" customWidth="1"/>
    <col min="1538" max="1538" width="12.85546875" style="1165" customWidth="1"/>
    <col min="1539" max="1539" width="14.7109375" style="1165" customWidth="1"/>
    <col min="1540" max="1540" width="10" style="1165" customWidth="1"/>
    <col min="1541" max="1541" width="6.28515625" style="1165" customWidth="1"/>
    <col min="1542" max="1542" width="12.28515625" style="1165" customWidth="1"/>
    <col min="1543" max="1543" width="8.5703125" style="1165" customWidth="1"/>
    <col min="1544" max="1544" width="13.7109375" style="1165" customWidth="1"/>
    <col min="1545" max="1545" width="11.5703125" style="1165" customWidth="1"/>
    <col min="1546" max="1546" width="34.28515625" style="1165" customWidth="1"/>
    <col min="1547" max="1547" width="24.28515625" style="1165" customWidth="1"/>
    <col min="1548" max="1548" width="21.140625" style="1165" customWidth="1"/>
    <col min="1549" max="1549" width="22.140625" style="1165" customWidth="1"/>
    <col min="1550" max="1550" width="8" style="1165" customWidth="1"/>
    <col min="1551" max="1551" width="17" style="1165" customWidth="1"/>
    <col min="1552" max="1552" width="12.7109375" style="1165" customWidth="1"/>
    <col min="1553" max="1553" width="24.5703125" style="1165" customWidth="1"/>
    <col min="1554" max="1554" width="29" style="1165" customWidth="1"/>
    <col min="1555" max="1555" width="17.7109375" style="1165" customWidth="1"/>
    <col min="1556" max="1556" width="36.42578125" style="1165" customWidth="1"/>
    <col min="1557" max="1557" width="21.85546875" style="1165" customWidth="1"/>
    <col min="1558" max="1558" width="11.7109375" style="1165" customWidth="1"/>
    <col min="1559" max="1559" width="26.28515625" style="1165" customWidth="1"/>
    <col min="1560" max="1560" width="9" style="1165" customWidth="1"/>
    <col min="1561" max="1561" width="6.28515625" style="1165" customWidth="1"/>
    <col min="1562" max="1563" width="7.28515625" style="1165" customWidth="1"/>
    <col min="1564" max="1564" width="8.42578125" style="1165" customWidth="1"/>
    <col min="1565" max="1565" width="9.5703125" style="1165" customWidth="1"/>
    <col min="1566" max="1566" width="6.28515625" style="1165" customWidth="1"/>
    <col min="1567" max="1567" width="5.85546875" style="1165" customWidth="1"/>
    <col min="1568" max="1569" width="4.42578125" style="1165" customWidth="1"/>
    <col min="1570" max="1570" width="5" style="1165" customWidth="1"/>
    <col min="1571" max="1571" width="5.85546875" style="1165" customWidth="1"/>
    <col min="1572" max="1572" width="6.140625" style="1165" customWidth="1"/>
    <col min="1573" max="1573" width="6.28515625" style="1165" customWidth="1"/>
    <col min="1574" max="1574" width="11.140625" style="1165" customWidth="1"/>
    <col min="1575" max="1575" width="14.140625" style="1165" customWidth="1"/>
    <col min="1576" max="1576" width="19.85546875" style="1165" customWidth="1"/>
    <col min="1577" max="1577" width="17" style="1165" customWidth="1"/>
    <col min="1578" max="1578" width="20.85546875" style="1165" customWidth="1"/>
    <col min="1579" max="1791" width="11.42578125" style="1165"/>
    <col min="1792" max="1792" width="13.140625" style="1165" customWidth="1"/>
    <col min="1793" max="1793" width="4" style="1165" customWidth="1"/>
    <col min="1794" max="1794" width="12.85546875" style="1165" customWidth="1"/>
    <col min="1795" max="1795" width="14.7109375" style="1165" customWidth="1"/>
    <col min="1796" max="1796" width="10" style="1165" customWidth="1"/>
    <col min="1797" max="1797" width="6.28515625" style="1165" customWidth="1"/>
    <col min="1798" max="1798" width="12.28515625" style="1165" customWidth="1"/>
    <col min="1799" max="1799" width="8.5703125" style="1165" customWidth="1"/>
    <col min="1800" max="1800" width="13.7109375" style="1165" customWidth="1"/>
    <col min="1801" max="1801" width="11.5703125" style="1165" customWidth="1"/>
    <col min="1802" max="1802" width="34.28515625" style="1165" customWidth="1"/>
    <col min="1803" max="1803" width="24.28515625" style="1165" customWidth="1"/>
    <col min="1804" max="1804" width="21.140625" style="1165" customWidth="1"/>
    <col min="1805" max="1805" width="22.140625" style="1165" customWidth="1"/>
    <col min="1806" max="1806" width="8" style="1165" customWidth="1"/>
    <col min="1807" max="1807" width="17" style="1165" customWidth="1"/>
    <col min="1808" max="1808" width="12.7109375" style="1165" customWidth="1"/>
    <col min="1809" max="1809" width="24.5703125" style="1165" customWidth="1"/>
    <col min="1810" max="1810" width="29" style="1165" customWidth="1"/>
    <col min="1811" max="1811" width="17.7109375" style="1165" customWidth="1"/>
    <col min="1812" max="1812" width="36.42578125" style="1165" customWidth="1"/>
    <col min="1813" max="1813" width="21.85546875" style="1165" customWidth="1"/>
    <col min="1814" max="1814" width="11.7109375" style="1165" customWidth="1"/>
    <col min="1815" max="1815" width="26.28515625" style="1165" customWidth="1"/>
    <col min="1816" max="1816" width="9" style="1165" customWidth="1"/>
    <col min="1817" max="1817" width="6.28515625" style="1165" customWidth="1"/>
    <col min="1818" max="1819" width="7.28515625" style="1165" customWidth="1"/>
    <col min="1820" max="1820" width="8.42578125" style="1165" customWidth="1"/>
    <col min="1821" max="1821" width="9.5703125" style="1165" customWidth="1"/>
    <col min="1822" max="1822" width="6.28515625" style="1165" customWidth="1"/>
    <col min="1823" max="1823" width="5.85546875" style="1165" customWidth="1"/>
    <col min="1824" max="1825" width="4.42578125" style="1165" customWidth="1"/>
    <col min="1826" max="1826" width="5" style="1165" customWidth="1"/>
    <col min="1827" max="1827" width="5.85546875" style="1165" customWidth="1"/>
    <col min="1828" max="1828" width="6.140625" style="1165" customWidth="1"/>
    <col min="1829" max="1829" width="6.28515625" style="1165" customWidth="1"/>
    <col min="1830" max="1830" width="11.140625" style="1165" customWidth="1"/>
    <col min="1831" max="1831" width="14.140625" style="1165" customWidth="1"/>
    <col min="1832" max="1832" width="19.85546875" style="1165" customWidth="1"/>
    <col min="1833" max="1833" width="17" style="1165" customWidth="1"/>
    <col min="1834" max="1834" width="20.85546875" style="1165" customWidth="1"/>
    <col min="1835" max="2047" width="11.42578125" style="1165"/>
    <col min="2048" max="2048" width="13.140625" style="1165" customWidth="1"/>
    <col min="2049" max="2049" width="4" style="1165" customWidth="1"/>
    <col min="2050" max="2050" width="12.85546875" style="1165" customWidth="1"/>
    <col min="2051" max="2051" width="14.7109375" style="1165" customWidth="1"/>
    <col min="2052" max="2052" width="10" style="1165" customWidth="1"/>
    <col min="2053" max="2053" width="6.28515625" style="1165" customWidth="1"/>
    <col min="2054" max="2054" width="12.28515625" style="1165" customWidth="1"/>
    <col min="2055" max="2055" width="8.5703125" style="1165" customWidth="1"/>
    <col min="2056" max="2056" width="13.7109375" style="1165" customWidth="1"/>
    <col min="2057" max="2057" width="11.5703125" style="1165" customWidth="1"/>
    <col min="2058" max="2058" width="34.28515625" style="1165" customWidth="1"/>
    <col min="2059" max="2059" width="24.28515625" style="1165" customWidth="1"/>
    <col min="2060" max="2060" width="21.140625" style="1165" customWidth="1"/>
    <col min="2061" max="2061" width="22.140625" style="1165" customWidth="1"/>
    <col min="2062" max="2062" width="8" style="1165" customWidth="1"/>
    <col min="2063" max="2063" width="17" style="1165" customWidth="1"/>
    <col min="2064" max="2064" width="12.7109375" style="1165" customWidth="1"/>
    <col min="2065" max="2065" width="24.5703125" style="1165" customWidth="1"/>
    <col min="2066" max="2066" width="29" style="1165" customWidth="1"/>
    <col min="2067" max="2067" width="17.7109375" style="1165" customWidth="1"/>
    <col min="2068" max="2068" width="36.42578125" style="1165" customWidth="1"/>
    <col min="2069" max="2069" width="21.85546875" style="1165" customWidth="1"/>
    <col min="2070" max="2070" width="11.7109375" style="1165" customWidth="1"/>
    <col min="2071" max="2071" width="26.28515625" style="1165" customWidth="1"/>
    <col min="2072" max="2072" width="9" style="1165" customWidth="1"/>
    <col min="2073" max="2073" width="6.28515625" style="1165" customWidth="1"/>
    <col min="2074" max="2075" width="7.28515625" style="1165" customWidth="1"/>
    <col min="2076" max="2076" width="8.42578125" style="1165" customWidth="1"/>
    <col min="2077" max="2077" width="9.5703125" style="1165" customWidth="1"/>
    <col min="2078" max="2078" width="6.28515625" style="1165" customWidth="1"/>
    <col min="2079" max="2079" width="5.85546875" style="1165" customWidth="1"/>
    <col min="2080" max="2081" width="4.42578125" style="1165" customWidth="1"/>
    <col min="2082" max="2082" width="5" style="1165" customWidth="1"/>
    <col min="2083" max="2083" width="5.85546875" style="1165" customWidth="1"/>
    <col min="2084" max="2084" width="6.140625" style="1165" customWidth="1"/>
    <col min="2085" max="2085" width="6.28515625" style="1165" customWidth="1"/>
    <col min="2086" max="2086" width="11.140625" style="1165" customWidth="1"/>
    <col min="2087" max="2087" width="14.140625" style="1165" customWidth="1"/>
    <col min="2088" max="2088" width="19.85546875" style="1165" customWidth="1"/>
    <col min="2089" max="2089" width="17" style="1165" customWidth="1"/>
    <col min="2090" max="2090" width="20.85546875" style="1165" customWidth="1"/>
    <col min="2091" max="2303" width="11.42578125" style="1165"/>
    <col min="2304" max="2304" width="13.140625" style="1165" customWidth="1"/>
    <col min="2305" max="2305" width="4" style="1165" customWidth="1"/>
    <col min="2306" max="2306" width="12.85546875" style="1165" customWidth="1"/>
    <col min="2307" max="2307" width="14.7109375" style="1165" customWidth="1"/>
    <col min="2308" max="2308" width="10" style="1165" customWidth="1"/>
    <col min="2309" max="2309" width="6.28515625" style="1165" customWidth="1"/>
    <col min="2310" max="2310" width="12.28515625" style="1165" customWidth="1"/>
    <col min="2311" max="2311" width="8.5703125" style="1165" customWidth="1"/>
    <col min="2312" max="2312" width="13.7109375" style="1165" customWidth="1"/>
    <col min="2313" max="2313" width="11.5703125" style="1165" customWidth="1"/>
    <col min="2314" max="2314" width="34.28515625" style="1165" customWidth="1"/>
    <col min="2315" max="2315" width="24.28515625" style="1165" customWidth="1"/>
    <col min="2316" max="2316" width="21.140625" style="1165" customWidth="1"/>
    <col min="2317" max="2317" width="22.140625" style="1165" customWidth="1"/>
    <col min="2318" max="2318" width="8" style="1165" customWidth="1"/>
    <col min="2319" max="2319" width="17" style="1165" customWidth="1"/>
    <col min="2320" max="2320" width="12.7109375" style="1165" customWidth="1"/>
    <col min="2321" max="2321" width="24.5703125" style="1165" customWidth="1"/>
    <col min="2322" max="2322" width="29" style="1165" customWidth="1"/>
    <col min="2323" max="2323" width="17.7109375" style="1165" customWidth="1"/>
    <col min="2324" max="2324" width="36.42578125" style="1165" customWidth="1"/>
    <col min="2325" max="2325" width="21.85546875" style="1165" customWidth="1"/>
    <col min="2326" max="2326" width="11.7109375" style="1165" customWidth="1"/>
    <col min="2327" max="2327" width="26.28515625" style="1165" customWidth="1"/>
    <col min="2328" max="2328" width="9" style="1165" customWidth="1"/>
    <col min="2329" max="2329" width="6.28515625" style="1165" customWidth="1"/>
    <col min="2330" max="2331" width="7.28515625" style="1165" customWidth="1"/>
    <col min="2332" max="2332" width="8.42578125" style="1165" customWidth="1"/>
    <col min="2333" max="2333" width="9.5703125" style="1165" customWidth="1"/>
    <col min="2334" max="2334" width="6.28515625" style="1165" customWidth="1"/>
    <col min="2335" max="2335" width="5.85546875" style="1165" customWidth="1"/>
    <col min="2336" max="2337" width="4.42578125" style="1165" customWidth="1"/>
    <col min="2338" max="2338" width="5" style="1165" customWidth="1"/>
    <col min="2339" max="2339" width="5.85546875" style="1165" customWidth="1"/>
    <col min="2340" max="2340" width="6.140625" style="1165" customWidth="1"/>
    <col min="2341" max="2341" width="6.28515625" style="1165" customWidth="1"/>
    <col min="2342" max="2342" width="11.140625" style="1165" customWidth="1"/>
    <col min="2343" max="2343" width="14.140625" style="1165" customWidth="1"/>
    <col min="2344" max="2344" width="19.85546875" style="1165" customWidth="1"/>
    <col min="2345" max="2345" width="17" style="1165" customWidth="1"/>
    <col min="2346" max="2346" width="20.85546875" style="1165" customWidth="1"/>
    <col min="2347" max="2559" width="11.42578125" style="1165"/>
    <col min="2560" max="2560" width="13.140625" style="1165" customWidth="1"/>
    <col min="2561" max="2561" width="4" style="1165" customWidth="1"/>
    <col min="2562" max="2562" width="12.85546875" style="1165" customWidth="1"/>
    <col min="2563" max="2563" width="14.7109375" style="1165" customWidth="1"/>
    <col min="2564" max="2564" width="10" style="1165" customWidth="1"/>
    <col min="2565" max="2565" width="6.28515625" style="1165" customWidth="1"/>
    <col min="2566" max="2566" width="12.28515625" style="1165" customWidth="1"/>
    <col min="2567" max="2567" width="8.5703125" style="1165" customWidth="1"/>
    <col min="2568" max="2568" width="13.7109375" style="1165" customWidth="1"/>
    <col min="2569" max="2569" width="11.5703125" style="1165" customWidth="1"/>
    <col min="2570" max="2570" width="34.28515625" style="1165" customWidth="1"/>
    <col min="2571" max="2571" width="24.28515625" style="1165" customWidth="1"/>
    <col min="2572" max="2572" width="21.140625" style="1165" customWidth="1"/>
    <col min="2573" max="2573" width="22.140625" style="1165" customWidth="1"/>
    <col min="2574" max="2574" width="8" style="1165" customWidth="1"/>
    <col min="2575" max="2575" width="17" style="1165" customWidth="1"/>
    <col min="2576" max="2576" width="12.7109375" style="1165" customWidth="1"/>
    <col min="2577" max="2577" width="24.5703125" style="1165" customWidth="1"/>
    <col min="2578" max="2578" width="29" style="1165" customWidth="1"/>
    <col min="2579" max="2579" width="17.7109375" style="1165" customWidth="1"/>
    <col min="2580" max="2580" width="36.42578125" style="1165" customWidth="1"/>
    <col min="2581" max="2581" width="21.85546875" style="1165" customWidth="1"/>
    <col min="2582" max="2582" width="11.7109375" style="1165" customWidth="1"/>
    <col min="2583" max="2583" width="26.28515625" style="1165" customWidth="1"/>
    <col min="2584" max="2584" width="9" style="1165" customWidth="1"/>
    <col min="2585" max="2585" width="6.28515625" style="1165" customWidth="1"/>
    <col min="2586" max="2587" width="7.28515625" style="1165" customWidth="1"/>
    <col min="2588" max="2588" width="8.42578125" style="1165" customWidth="1"/>
    <col min="2589" max="2589" width="9.5703125" style="1165" customWidth="1"/>
    <col min="2590" max="2590" width="6.28515625" style="1165" customWidth="1"/>
    <col min="2591" max="2591" width="5.85546875" style="1165" customWidth="1"/>
    <col min="2592" max="2593" width="4.42578125" style="1165" customWidth="1"/>
    <col min="2594" max="2594" width="5" style="1165" customWidth="1"/>
    <col min="2595" max="2595" width="5.85546875" style="1165" customWidth="1"/>
    <col min="2596" max="2596" width="6.140625" style="1165" customWidth="1"/>
    <col min="2597" max="2597" width="6.28515625" style="1165" customWidth="1"/>
    <col min="2598" max="2598" width="11.140625" style="1165" customWidth="1"/>
    <col min="2599" max="2599" width="14.140625" style="1165" customWidth="1"/>
    <col min="2600" max="2600" width="19.85546875" style="1165" customWidth="1"/>
    <col min="2601" max="2601" width="17" style="1165" customWidth="1"/>
    <col min="2602" max="2602" width="20.85546875" style="1165" customWidth="1"/>
    <col min="2603" max="2815" width="11.42578125" style="1165"/>
    <col min="2816" max="2816" width="13.140625" style="1165" customWidth="1"/>
    <col min="2817" max="2817" width="4" style="1165" customWidth="1"/>
    <col min="2818" max="2818" width="12.85546875" style="1165" customWidth="1"/>
    <col min="2819" max="2819" width="14.7109375" style="1165" customWidth="1"/>
    <col min="2820" max="2820" width="10" style="1165" customWidth="1"/>
    <col min="2821" max="2821" width="6.28515625" style="1165" customWidth="1"/>
    <col min="2822" max="2822" width="12.28515625" style="1165" customWidth="1"/>
    <col min="2823" max="2823" width="8.5703125" style="1165" customWidth="1"/>
    <col min="2824" max="2824" width="13.7109375" style="1165" customWidth="1"/>
    <col min="2825" max="2825" width="11.5703125" style="1165" customWidth="1"/>
    <col min="2826" max="2826" width="34.28515625" style="1165" customWidth="1"/>
    <col min="2827" max="2827" width="24.28515625" style="1165" customWidth="1"/>
    <col min="2828" max="2828" width="21.140625" style="1165" customWidth="1"/>
    <col min="2829" max="2829" width="22.140625" style="1165" customWidth="1"/>
    <col min="2830" max="2830" width="8" style="1165" customWidth="1"/>
    <col min="2831" max="2831" width="17" style="1165" customWidth="1"/>
    <col min="2832" max="2832" width="12.7109375" style="1165" customWidth="1"/>
    <col min="2833" max="2833" width="24.5703125" style="1165" customWidth="1"/>
    <col min="2834" max="2834" width="29" style="1165" customWidth="1"/>
    <col min="2835" max="2835" width="17.7109375" style="1165" customWidth="1"/>
    <col min="2836" max="2836" width="36.42578125" style="1165" customWidth="1"/>
    <col min="2837" max="2837" width="21.85546875" style="1165" customWidth="1"/>
    <col min="2838" max="2838" width="11.7109375" style="1165" customWidth="1"/>
    <col min="2839" max="2839" width="26.28515625" style="1165" customWidth="1"/>
    <col min="2840" max="2840" width="9" style="1165" customWidth="1"/>
    <col min="2841" max="2841" width="6.28515625" style="1165" customWidth="1"/>
    <col min="2842" max="2843" width="7.28515625" style="1165" customWidth="1"/>
    <col min="2844" max="2844" width="8.42578125" style="1165" customWidth="1"/>
    <col min="2845" max="2845" width="9.5703125" style="1165" customWidth="1"/>
    <col min="2846" max="2846" width="6.28515625" style="1165" customWidth="1"/>
    <col min="2847" max="2847" width="5.85546875" style="1165" customWidth="1"/>
    <col min="2848" max="2849" width="4.42578125" style="1165" customWidth="1"/>
    <col min="2850" max="2850" width="5" style="1165" customWidth="1"/>
    <col min="2851" max="2851" width="5.85546875" style="1165" customWidth="1"/>
    <col min="2852" max="2852" width="6.140625" style="1165" customWidth="1"/>
    <col min="2853" max="2853" width="6.28515625" style="1165" customWidth="1"/>
    <col min="2854" max="2854" width="11.140625" style="1165" customWidth="1"/>
    <col min="2855" max="2855" width="14.140625" style="1165" customWidth="1"/>
    <col min="2856" max="2856" width="19.85546875" style="1165" customWidth="1"/>
    <col min="2857" max="2857" width="17" style="1165" customWidth="1"/>
    <col min="2858" max="2858" width="20.85546875" style="1165" customWidth="1"/>
    <col min="2859" max="3071" width="11.42578125" style="1165"/>
    <col min="3072" max="3072" width="13.140625" style="1165" customWidth="1"/>
    <col min="3073" max="3073" width="4" style="1165" customWidth="1"/>
    <col min="3074" max="3074" width="12.85546875" style="1165" customWidth="1"/>
    <col min="3075" max="3075" width="14.7109375" style="1165" customWidth="1"/>
    <col min="3076" max="3076" width="10" style="1165" customWidth="1"/>
    <col min="3077" max="3077" width="6.28515625" style="1165" customWidth="1"/>
    <col min="3078" max="3078" width="12.28515625" style="1165" customWidth="1"/>
    <col min="3079" max="3079" width="8.5703125" style="1165" customWidth="1"/>
    <col min="3080" max="3080" width="13.7109375" style="1165" customWidth="1"/>
    <col min="3081" max="3081" width="11.5703125" style="1165" customWidth="1"/>
    <col min="3082" max="3082" width="34.28515625" style="1165" customWidth="1"/>
    <col min="3083" max="3083" width="24.28515625" style="1165" customWidth="1"/>
    <col min="3084" max="3084" width="21.140625" style="1165" customWidth="1"/>
    <col min="3085" max="3085" width="22.140625" style="1165" customWidth="1"/>
    <col min="3086" max="3086" width="8" style="1165" customWidth="1"/>
    <col min="3087" max="3087" width="17" style="1165" customWidth="1"/>
    <col min="3088" max="3088" width="12.7109375" style="1165" customWidth="1"/>
    <col min="3089" max="3089" width="24.5703125" style="1165" customWidth="1"/>
    <col min="3090" max="3090" width="29" style="1165" customWidth="1"/>
    <col min="3091" max="3091" width="17.7109375" style="1165" customWidth="1"/>
    <col min="3092" max="3092" width="36.42578125" style="1165" customWidth="1"/>
    <col min="3093" max="3093" width="21.85546875" style="1165" customWidth="1"/>
    <col min="3094" max="3094" width="11.7109375" style="1165" customWidth="1"/>
    <col min="3095" max="3095" width="26.28515625" style="1165" customWidth="1"/>
    <col min="3096" max="3096" width="9" style="1165" customWidth="1"/>
    <col min="3097" max="3097" width="6.28515625" style="1165" customWidth="1"/>
    <col min="3098" max="3099" width="7.28515625" style="1165" customWidth="1"/>
    <col min="3100" max="3100" width="8.42578125" style="1165" customWidth="1"/>
    <col min="3101" max="3101" width="9.5703125" style="1165" customWidth="1"/>
    <col min="3102" max="3102" width="6.28515625" style="1165" customWidth="1"/>
    <col min="3103" max="3103" width="5.85546875" style="1165" customWidth="1"/>
    <col min="3104" max="3105" width="4.42578125" style="1165" customWidth="1"/>
    <col min="3106" max="3106" width="5" style="1165" customWidth="1"/>
    <col min="3107" max="3107" width="5.85546875" style="1165" customWidth="1"/>
    <col min="3108" max="3108" width="6.140625" style="1165" customWidth="1"/>
    <col min="3109" max="3109" width="6.28515625" style="1165" customWidth="1"/>
    <col min="3110" max="3110" width="11.140625" style="1165" customWidth="1"/>
    <col min="3111" max="3111" width="14.140625" style="1165" customWidth="1"/>
    <col min="3112" max="3112" width="19.85546875" style="1165" customWidth="1"/>
    <col min="3113" max="3113" width="17" style="1165" customWidth="1"/>
    <col min="3114" max="3114" width="20.85546875" style="1165" customWidth="1"/>
    <col min="3115" max="3327" width="11.42578125" style="1165"/>
    <col min="3328" max="3328" width="13.140625" style="1165" customWidth="1"/>
    <col min="3329" max="3329" width="4" style="1165" customWidth="1"/>
    <col min="3330" max="3330" width="12.85546875" style="1165" customWidth="1"/>
    <col min="3331" max="3331" width="14.7109375" style="1165" customWidth="1"/>
    <col min="3332" max="3332" width="10" style="1165" customWidth="1"/>
    <col min="3333" max="3333" width="6.28515625" style="1165" customWidth="1"/>
    <col min="3334" max="3334" width="12.28515625" style="1165" customWidth="1"/>
    <col min="3335" max="3335" width="8.5703125" style="1165" customWidth="1"/>
    <col min="3336" max="3336" width="13.7109375" style="1165" customWidth="1"/>
    <col min="3337" max="3337" width="11.5703125" style="1165" customWidth="1"/>
    <col min="3338" max="3338" width="34.28515625" style="1165" customWidth="1"/>
    <col min="3339" max="3339" width="24.28515625" style="1165" customWidth="1"/>
    <col min="3340" max="3340" width="21.140625" style="1165" customWidth="1"/>
    <col min="3341" max="3341" width="22.140625" style="1165" customWidth="1"/>
    <col min="3342" max="3342" width="8" style="1165" customWidth="1"/>
    <col min="3343" max="3343" width="17" style="1165" customWidth="1"/>
    <col min="3344" max="3344" width="12.7109375" style="1165" customWidth="1"/>
    <col min="3345" max="3345" width="24.5703125" style="1165" customWidth="1"/>
    <col min="3346" max="3346" width="29" style="1165" customWidth="1"/>
    <col min="3347" max="3347" width="17.7109375" style="1165" customWidth="1"/>
    <col min="3348" max="3348" width="36.42578125" style="1165" customWidth="1"/>
    <col min="3349" max="3349" width="21.85546875" style="1165" customWidth="1"/>
    <col min="3350" max="3350" width="11.7109375" style="1165" customWidth="1"/>
    <col min="3351" max="3351" width="26.28515625" style="1165" customWidth="1"/>
    <col min="3352" max="3352" width="9" style="1165" customWidth="1"/>
    <col min="3353" max="3353" width="6.28515625" style="1165" customWidth="1"/>
    <col min="3354" max="3355" width="7.28515625" style="1165" customWidth="1"/>
    <col min="3356" max="3356" width="8.42578125" style="1165" customWidth="1"/>
    <col min="3357" max="3357" width="9.5703125" style="1165" customWidth="1"/>
    <col min="3358" max="3358" width="6.28515625" style="1165" customWidth="1"/>
    <col min="3359" max="3359" width="5.85546875" style="1165" customWidth="1"/>
    <col min="3360" max="3361" width="4.42578125" style="1165" customWidth="1"/>
    <col min="3362" max="3362" width="5" style="1165" customWidth="1"/>
    <col min="3363" max="3363" width="5.85546875" style="1165" customWidth="1"/>
    <col min="3364" max="3364" width="6.140625" style="1165" customWidth="1"/>
    <col min="3365" max="3365" width="6.28515625" style="1165" customWidth="1"/>
    <col min="3366" max="3366" width="11.140625" style="1165" customWidth="1"/>
    <col min="3367" max="3367" width="14.140625" style="1165" customWidth="1"/>
    <col min="3368" max="3368" width="19.85546875" style="1165" customWidth="1"/>
    <col min="3369" max="3369" width="17" style="1165" customWidth="1"/>
    <col min="3370" max="3370" width="20.85546875" style="1165" customWidth="1"/>
    <col min="3371" max="3583" width="11.42578125" style="1165"/>
    <col min="3584" max="3584" width="13.140625" style="1165" customWidth="1"/>
    <col min="3585" max="3585" width="4" style="1165" customWidth="1"/>
    <col min="3586" max="3586" width="12.85546875" style="1165" customWidth="1"/>
    <col min="3587" max="3587" width="14.7109375" style="1165" customWidth="1"/>
    <col min="3588" max="3588" width="10" style="1165" customWidth="1"/>
    <col min="3589" max="3589" width="6.28515625" style="1165" customWidth="1"/>
    <col min="3590" max="3590" width="12.28515625" style="1165" customWidth="1"/>
    <col min="3591" max="3591" width="8.5703125" style="1165" customWidth="1"/>
    <col min="3592" max="3592" width="13.7109375" style="1165" customWidth="1"/>
    <col min="3593" max="3593" width="11.5703125" style="1165" customWidth="1"/>
    <col min="3594" max="3594" width="34.28515625" style="1165" customWidth="1"/>
    <col min="3595" max="3595" width="24.28515625" style="1165" customWidth="1"/>
    <col min="3596" max="3596" width="21.140625" style="1165" customWidth="1"/>
    <col min="3597" max="3597" width="22.140625" style="1165" customWidth="1"/>
    <col min="3598" max="3598" width="8" style="1165" customWidth="1"/>
    <col min="3599" max="3599" width="17" style="1165" customWidth="1"/>
    <col min="3600" max="3600" width="12.7109375" style="1165" customWidth="1"/>
    <col min="3601" max="3601" width="24.5703125" style="1165" customWidth="1"/>
    <col min="3602" max="3602" width="29" style="1165" customWidth="1"/>
    <col min="3603" max="3603" width="17.7109375" style="1165" customWidth="1"/>
    <col min="3604" max="3604" width="36.42578125" style="1165" customWidth="1"/>
    <col min="3605" max="3605" width="21.85546875" style="1165" customWidth="1"/>
    <col min="3606" max="3606" width="11.7109375" style="1165" customWidth="1"/>
    <col min="3607" max="3607" width="26.28515625" style="1165" customWidth="1"/>
    <col min="3608" max="3608" width="9" style="1165" customWidth="1"/>
    <col min="3609" max="3609" width="6.28515625" style="1165" customWidth="1"/>
    <col min="3610" max="3611" width="7.28515625" style="1165" customWidth="1"/>
    <col min="3612" max="3612" width="8.42578125" style="1165" customWidth="1"/>
    <col min="3613" max="3613" width="9.5703125" style="1165" customWidth="1"/>
    <col min="3614" max="3614" width="6.28515625" style="1165" customWidth="1"/>
    <col min="3615" max="3615" width="5.85546875" style="1165" customWidth="1"/>
    <col min="3616" max="3617" width="4.42578125" style="1165" customWidth="1"/>
    <col min="3618" max="3618" width="5" style="1165" customWidth="1"/>
    <col min="3619" max="3619" width="5.85546875" style="1165" customWidth="1"/>
    <col min="3620" max="3620" width="6.140625" style="1165" customWidth="1"/>
    <col min="3621" max="3621" width="6.28515625" style="1165" customWidth="1"/>
    <col min="3622" max="3622" width="11.140625" style="1165" customWidth="1"/>
    <col min="3623" max="3623" width="14.140625" style="1165" customWidth="1"/>
    <col min="3624" max="3624" width="19.85546875" style="1165" customWidth="1"/>
    <col min="3625" max="3625" width="17" style="1165" customWidth="1"/>
    <col min="3626" max="3626" width="20.85546875" style="1165" customWidth="1"/>
    <col min="3627" max="3839" width="11.42578125" style="1165"/>
    <col min="3840" max="3840" width="13.140625" style="1165" customWidth="1"/>
    <col min="3841" max="3841" width="4" style="1165" customWidth="1"/>
    <col min="3842" max="3842" width="12.85546875" style="1165" customWidth="1"/>
    <col min="3843" max="3843" width="14.7109375" style="1165" customWidth="1"/>
    <col min="3844" max="3844" width="10" style="1165" customWidth="1"/>
    <col min="3845" max="3845" width="6.28515625" style="1165" customWidth="1"/>
    <col min="3846" max="3846" width="12.28515625" style="1165" customWidth="1"/>
    <col min="3847" max="3847" width="8.5703125" style="1165" customWidth="1"/>
    <col min="3848" max="3848" width="13.7109375" style="1165" customWidth="1"/>
    <col min="3849" max="3849" width="11.5703125" style="1165" customWidth="1"/>
    <col min="3850" max="3850" width="34.28515625" style="1165" customWidth="1"/>
    <col min="3851" max="3851" width="24.28515625" style="1165" customWidth="1"/>
    <col min="3852" max="3852" width="21.140625" style="1165" customWidth="1"/>
    <col min="3853" max="3853" width="22.140625" style="1165" customWidth="1"/>
    <col min="3854" max="3854" width="8" style="1165" customWidth="1"/>
    <col min="3855" max="3855" width="17" style="1165" customWidth="1"/>
    <col min="3856" max="3856" width="12.7109375" style="1165" customWidth="1"/>
    <col min="3857" max="3857" width="24.5703125" style="1165" customWidth="1"/>
    <col min="3858" max="3858" width="29" style="1165" customWidth="1"/>
    <col min="3859" max="3859" width="17.7109375" style="1165" customWidth="1"/>
    <col min="3860" max="3860" width="36.42578125" style="1165" customWidth="1"/>
    <col min="3861" max="3861" width="21.85546875" style="1165" customWidth="1"/>
    <col min="3862" max="3862" width="11.7109375" style="1165" customWidth="1"/>
    <col min="3863" max="3863" width="26.28515625" style="1165" customWidth="1"/>
    <col min="3864" max="3864" width="9" style="1165" customWidth="1"/>
    <col min="3865" max="3865" width="6.28515625" style="1165" customWidth="1"/>
    <col min="3866" max="3867" width="7.28515625" style="1165" customWidth="1"/>
    <col min="3868" max="3868" width="8.42578125" style="1165" customWidth="1"/>
    <col min="3869" max="3869" width="9.5703125" style="1165" customWidth="1"/>
    <col min="3870" max="3870" width="6.28515625" style="1165" customWidth="1"/>
    <col min="3871" max="3871" width="5.85546875" style="1165" customWidth="1"/>
    <col min="3872" max="3873" width="4.42578125" style="1165" customWidth="1"/>
    <col min="3874" max="3874" width="5" style="1165" customWidth="1"/>
    <col min="3875" max="3875" width="5.85546875" style="1165" customWidth="1"/>
    <col min="3876" max="3876" width="6.140625" style="1165" customWidth="1"/>
    <col min="3877" max="3877" width="6.28515625" style="1165" customWidth="1"/>
    <col min="3878" max="3878" width="11.140625" style="1165" customWidth="1"/>
    <col min="3879" max="3879" width="14.140625" style="1165" customWidth="1"/>
    <col min="3880" max="3880" width="19.85546875" style="1165" customWidth="1"/>
    <col min="3881" max="3881" width="17" style="1165" customWidth="1"/>
    <col min="3882" max="3882" width="20.85546875" style="1165" customWidth="1"/>
    <col min="3883" max="4095" width="11.42578125" style="1165"/>
    <col min="4096" max="4096" width="13.140625" style="1165" customWidth="1"/>
    <col min="4097" max="4097" width="4" style="1165" customWidth="1"/>
    <col min="4098" max="4098" width="12.85546875" style="1165" customWidth="1"/>
    <col min="4099" max="4099" width="14.7109375" style="1165" customWidth="1"/>
    <col min="4100" max="4100" width="10" style="1165" customWidth="1"/>
    <col min="4101" max="4101" width="6.28515625" style="1165" customWidth="1"/>
    <col min="4102" max="4102" width="12.28515625" style="1165" customWidth="1"/>
    <col min="4103" max="4103" width="8.5703125" style="1165" customWidth="1"/>
    <col min="4104" max="4104" width="13.7109375" style="1165" customWidth="1"/>
    <col min="4105" max="4105" width="11.5703125" style="1165" customWidth="1"/>
    <col min="4106" max="4106" width="34.28515625" style="1165" customWidth="1"/>
    <col min="4107" max="4107" width="24.28515625" style="1165" customWidth="1"/>
    <col min="4108" max="4108" width="21.140625" style="1165" customWidth="1"/>
    <col min="4109" max="4109" width="22.140625" style="1165" customWidth="1"/>
    <col min="4110" max="4110" width="8" style="1165" customWidth="1"/>
    <col min="4111" max="4111" width="17" style="1165" customWidth="1"/>
    <col min="4112" max="4112" width="12.7109375" style="1165" customWidth="1"/>
    <col min="4113" max="4113" width="24.5703125" style="1165" customWidth="1"/>
    <col min="4114" max="4114" width="29" style="1165" customWidth="1"/>
    <col min="4115" max="4115" width="17.7109375" style="1165" customWidth="1"/>
    <col min="4116" max="4116" width="36.42578125" style="1165" customWidth="1"/>
    <col min="4117" max="4117" width="21.85546875" style="1165" customWidth="1"/>
    <col min="4118" max="4118" width="11.7109375" style="1165" customWidth="1"/>
    <col min="4119" max="4119" width="26.28515625" style="1165" customWidth="1"/>
    <col min="4120" max="4120" width="9" style="1165" customWidth="1"/>
    <col min="4121" max="4121" width="6.28515625" style="1165" customWidth="1"/>
    <col min="4122" max="4123" width="7.28515625" style="1165" customWidth="1"/>
    <col min="4124" max="4124" width="8.42578125" style="1165" customWidth="1"/>
    <col min="4125" max="4125" width="9.5703125" style="1165" customWidth="1"/>
    <col min="4126" max="4126" width="6.28515625" style="1165" customWidth="1"/>
    <col min="4127" max="4127" width="5.85546875" style="1165" customWidth="1"/>
    <col min="4128" max="4129" width="4.42578125" style="1165" customWidth="1"/>
    <col min="4130" max="4130" width="5" style="1165" customWidth="1"/>
    <col min="4131" max="4131" width="5.85546875" style="1165" customWidth="1"/>
    <col min="4132" max="4132" width="6.140625" style="1165" customWidth="1"/>
    <col min="4133" max="4133" width="6.28515625" style="1165" customWidth="1"/>
    <col min="4134" max="4134" width="11.140625" style="1165" customWidth="1"/>
    <col min="4135" max="4135" width="14.140625" style="1165" customWidth="1"/>
    <col min="4136" max="4136" width="19.85546875" style="1165" customWidth="1"/>
    <col min="4137" max="4137" width="17" style="1165" customWidth="1"/>
    <col min="4138" max="4138" width="20.85546875" style="1165" customWidth="1"/>
    <col min="4139" max="4351" width="11.42578125" style="1165"/>
    <col min="4352" max="4352" width="13.140625" style="1165" customWidth="1"/>
    <col min="4353" max="4353" width="4" style="1165" customWidth="1"/>
    <col min="4354" max="4354" width="12.85546875" style="1165" customWidth="1"/>
    <col min="4355" max="4355" width="14.7109375" style="1165" customWidth="1"/>
    <col min="4356" max="4356" width="10" style="1165" customWidth="1"/>
    <col min="4357" max="4357" width="6.28515625" style="1165" customWidth="1"/>
    <col min="4358" max="4358" width="12.28515625" style="1165" customWidth="1"/>
    <col min="4359" max="4359" width="8.5703125" style="1165" customWidth="1"/>
    <col min="4360" max="4360" width="13.7109375" style="1165" customWidth="1"/>
    <col min="4361" max="4361" width="11.5703125" style="1165" customWidth="1"/>
    <col min="4362" max="4362" width="34.28515625" style="1165" customWidth="1"/>
    <col min="4363" max="4363" width="24.28515625" style="1165" customWidth="1"/>
    <col min="4364" max="4364" width="21.140625" style="1165" customWidth="1"/>
    <col min="4365" max="4365" width="22.140625" style="1165" customWidth="1"/>
    <col min="4366" max="4366" width="8" style="1165" customWidth="1"/>
    <col min="4367" max="4367" width="17" style="1165" customWidth="1"/>
    <col min="4368" max="4368" width="12.7109375" style="1165" customWidth="1"/>
    <col min="4369" max="4369" width="24.5703125" style="1165" customWidth="1"/>
    <col min="4370" max="4370" width="29" style="1165" customWidth="1"/>
    <col min="4371" max="4371" width="17.7109375" style="1165" customWidth="1"/>
    <col min="4372" max="4372" width="36.42578125" style="1165" customWidth="1"/>
    <col min="4373" max="4373" width="21.85546875" style="1165" customWidth="1"/>
    <col min="4374" max="4374" width="11.7109375" style="1165" customWidth="1"/>
    <col min="4375" max="4375" width="26.28515625" style="1165" customWidth="1"/>
    <col min="4376" max="4376" width="9" style="1165" customWidth="1"/>
    <col min="4377" max="4377" width="6.28515625" style="1165" customWidth="1"/>
    <col min="4378" max="4379" width="7.28515625" style="1165" customWidth="1"/>
    <col min="4380" max="4380" width="8.42578125" style="1165" customWidth="1"/>
    <col min="4381" max="4381" width="9.5703125" style="1165" customWidth="1"/>
    <col min="4382" max="4382" width="6.28515625" style="1165" customWidth="1"/>
    <col min="4383" max="4383" width="5.85546875" style="1165" customWidth="1"/>
    <col min="4384" max="4385" width="4.42578125" style="1165" customWidth="1"/>
    <col min="4386" max="4386" width="5" style="1165" customWidth="1"/>
    <col min="4387" max="4387" width="5.85546875" style="1165" customWidth="1"/>
    <col min="4388" max="4388" width="6.140625" style="1165" customWidth="1"/>
    <col min="4389" max="4389" width="6.28515625" style="1165" customWidth="1"/>
    <col min="4390" max="4390" width="11.140625" style="1165" customWidth="1"/>
    <col min="4391" max="4391" width="14.140625" style="1165" customWidth="1"/>
    <col min="4392" max="4392" width="19.85546875" style="1165" customWidth="1"/>
    <col min="4393" max="4393" width="17" style="1165" customWidth="1"/>
    <col min="4394" max="4394" width="20.85546875" style="1165" customWidth="1"/>
    <col min="4395" max="4607" width="11.42578125" style="1165"/>
    <col min="4608" max="4608" width="13.140625" style="1165" customWidth="1"/>
    <col min="4609" max="4609" width="4" style="1165" customWidth="1"/>
    <col min="4610" max="4610" width="12.85546875" style="1165" customWidth="1"/>
    <col min="4611" max="4611" width="14.7109375" style="1165" customWidth="1"/>
    <col min="4612" max="4612" width="10" style="1165" customWidth="1"/>
    <col min="4613" max="4613" width="6.28515625" style="1165" customWidth="1"/>
    <col min="4614" max="4614" width="12.28515625" style="1165" customWidth="1"/>
    <col min="4615" max="4615" width="8.5703125" style="1165" customWidth="1"/>
    <col min="4616" max="4616" width="13.7109375" style="1165" customWidth="1"/>
    <col min="4617" max="4617" width="11.5703125" style="1165" customWidth="1"/>
    <col min="4618" max="4618" width="34.28515625" style="1165" customWidth="1"/>
    <col min="4619" max="4619" width="24.28515625" style="1165" customWidth="1"/>
    <col min="4620" max="4620" width="21.140625" style="1165" customWidth="1"/>
    <col min="4621" max="4621" width="22.140625" style="1165" customWidth="1"/>
    <col min="4622" max="4622" width="8" style="1165" customWidth="1"/>
    <col min="4623" max="4623" width="17" style="1165" customWidth="1"/>
    <col min="4624" max="4624" width="12.7109375" style="1165" customWidth="1"/>
    <col min="4625" max="4625" width="24.5703125" style="1165" customWidth="1"/>
    <col min="4626" max="4626" width="29" style="1165" customWidth="1"/>
    <col min="4627" max="4627" width="17.7109375" style="1165" customWidth="1"/>
    <col min="4628" max="4628" width="36.42578125" style="1165" customWidth="1"/>
    <col min="4629" max="4629" width="21.85546875" style="1165" customWidth="1"/>
    <col min="4630" max="4630" width="11.7109375" style="1165" customWidth="1"/>
    <col min="4631" max="4631" width="26.28515625" style="1165" customWidth="1"/>
    <col min="4632" max="4632" width="9" style="1165" customWidth="1"/>
    <col min="4633" max="4633" width="6.28515625" style="1165" customWidth="1"/>
    <col min="4634" max="4635" width="7.28515625" style="1165" customWidth="1"/>
    <col min="4636" max="4636" width="8.42578125" style="1165" customWidth="1"/>
    <col min="4637" max="4637" width="9.5703125" style="1165" customWidth="1"/>
    <col min="4638" max="4638" width="6.28515625" style="1165" customWidth="1"/>
    <col min="4639" max="4639" width="5.85546875" style="1165" customWidth="1"/>
    <col min="4640" max="4641" width="4.42578125" style="1165" customWidth="1"/>
    <col min="4642" max="4642" width="5" style="1165" customWidth="1"/>
    <col min="4643" max="4643" width="5.85546875" style="1165" customWidth="1"/>
    <col min="4644" max="4644" width="6.140625" style="1165" customWidth="1"/>
    <col min="4645" max="4645" width="6.28515625" style="1165" customWidth="1"/>
    <col min="4646" max="4646" width="11.140625" style="1165" customWidth="1"/>
    <col min="4647" max="4647" width="14.140625" style="1165" customWidth="1"/>
    <col min="4648" max="4648" width="19.85546875" style="1165" customWidth="1"/>
    <col min="4649" max="4649" width="17" style="1165" customWidth="1"/>
    <col min="4650" max="4650" width="20.85546875" style="1165" customWidth="1"/>
    <col min="4651" max="4863" width="11.42578125" style="1165"/>
    <col min="4864" max="4864" width="13.140625" style="1165" customWidth="1"/>
    <col min="4865" max="4865" width="4" style="1165" customWidth="1"/>
    <col min="4866" max="4866" width="12.85546875" style="1165" customWidth="1"/>
    <col min="4867" max="4867" width="14.7109375" style="1165" customWidth="1"/>
    <col min="4868" max="4868" width="10" style="1165" customWidth="1"/>
    <col min="4869" max="4869" width="6.28515625" style="1165" customWidth="1"/>
    <col min="4870" max="4870" width="12.28515625" style="1165" customWidth="1"/>
    <col min="4871" max="4871" width="8.5703125" style="1165" customWidth="1"/>
    <col min="4872" max="4872" width="13.7109375" style="1165" customWidth="1"/>
    <col min="4873" max="4873" width="11.5703125" style="1165" customWidth="1"/>
    <col min="4874" max="4874" width="34.28515625" style="1165" customWidth="1"/>
    <col min="4875" max="4875" width="24.28515625" style="1165" customWidth="1"/>
    <col min="4876" max="4876" width="21.140625" style="1165" customWidth="1"/>
    <col min="4877" max="4877" width="22.140625" style="1165" customWidth="1"/>
    <col min="4878" max="4878" width="8" style="1165" customWidth="1"/>
    <col min="4879" max="4879" width="17" style="1165" customWidth="1"/>
    <col min="4880" max="4880" width="12.7109375" style="1165" customWidth="1"/>
    <col min="4881" max="4881" width="24.5703125" style="1165" customWidth="1"/>
    <col min="4882" max="4882" width="29" style="1165" customWidth="1"/>
    <col min="4883" max="4883" width="17.7109375" style="1165" customWidth="1"/>
    <col min="4884" max="4884" width="36.42578125" style="1165" customWidth="1"/>
    <col min="4885" max="4885" width="21.85546875" style="1165" customWidth="1"/>
    <col min="4886" max="4886" width="11.7109375" style="1165" customWidth="1"/>
    <col min="4887" max="4887" width="26.28515625" style="1165" customWidth="1"/>
    <col min="4888" max="4888" width="9" style="1165" customWidth="1"/>
    <col min="4889" max="4889" width="6.28515625" style="1165" customWidth="1"/>
    <col min="4890" max="4891" width="7.28515625" style="1165" customWidth="1"/>
    <col min="4892" max="4892" width="8.42578125" style="1165" customWidth="1"/>
    <col min="4893" max="4893" width="9.5703125" style="1165" customWidth="1"/>
    <col min="4894" max="4894" width="6.28515625" style="1165" customWidth="1"/>
    <col min="4895" max="4895" width="5.85546875" style="1165" customWidth="1"/>
    <col min="4896" max="4897" width="4.42578125" style="1165" customWidth="1"/>
    <col min="4898" max="4898" width="5" style="1165" customWidth="1"/>
    <col min="4899" max="4899" width="5.85546875" style="1165" customWidth="1"/>
    <col min="4900" max="4900" width="6.140625" style="1165" customWidth="1"/>
    <col min="4901" max="4901" width="6.28515625" style="1165" customWidth="1"/>
    <col min="4902" max="4902" width="11.140625" style="1165" customWidth="1"/>
    <col min="4903" max="4903" width="14.140625" style="1165" customWidth="1"/>
    <col min="4904" max="4904" width="19.85546875" style="1165" customWidth="1"/>
    <col min="4905" max="4905" width="17" style="1165" customWidth="1"/>
    <col min="4906" max="4906" width="20.85546875" style="1165" customWidth="1"/>
    <col min="4907" max="5119" width="11.42578125" style="1165"/>
    <col min="5120" max="5120" width="13.140625" style="1165" customWidth="1"/>
    <col min="5121" max="5121" width="4" style="1165" customWidth="1"/>
    <col min="5122" max="5122" width="12.85546875" style="1165" customWidth="1"/>
    <col min="5123" max="5123" width="14.7109375" style="1165" customWidth="1"/>
    <col min="5124" max="5124" width="10" style="1165" customWidth="1"/>
    <col min="5125" max="5125" width="6.28515625" style="1165" customWidth="1"/>
    <col min="5126" max="5126" width="12.28515625" style="1165" customWidth="1"/>
    <col min="5127" max="5127" width="8.5703125" style="1165" customWidth="1"/>
    <col min="5128" max="5128" width="13.7109375" style="1165" customWidth="1"/>
    <col min="5129" max="5129" width="11.5703125" style="1165" customWidth="1"/>
    <col min="5130" max="5130" width="34.28515625" style="1165" customWidth="1"/>
    <col min="5131" max="5131" width="24.28515625" style="1165" customWidth="1"/>
    <col min="5132" max="5132" width="21.140625" style="1165" customWidth="1"/>
    <col min="5133" max="5133" width="22.140625" style="1165" customWidth="1"/>
    <col min="5134" max="5134" width="8" style="1165" customWidth="1"/>
    <col min="5135" max="5135" width="17" style="1165" customWidth="1"/>
    <col min="5136" max="5136" width="12.7109375" style="1165" customWidth="1"/>
    <col min="5137" max="5137" width="24.5703125" style="1165" customWidth="1"/>
    <col min="5138" max="5138" width="29" style="1165" customWidth="1"/>
    <col min="5139" max="5139" width="17.7109375" style="1165" customWidth="1"/>
    <col min="5140" max="5140" width="36.42578125" style="1165" customWidth="1"/>
    <col min="5141" max="5141" width="21.85546875" style="1165" customWidth="1"/>
    <col min="5142" max="5142" width="11.7109375" style="1165" customWidth="1"/>
    <col min="5143" max="5143" width="26.28515625" style="1165" customWidth="1"/>
    <col min="5144" max="5144" width="9" style="1165" customWidth="1"/>
    <col min="5145" max="5145" width="6.28515625" style="1165" customWidth="1"/>
    <col min="5146" max="5147" width="7.28515625" style="1165" customWidth="1"/>
    <col min="5148" max="5148" width="8.42578125" style="1165" customWidth="1"/>
    <col min="5149" max="5149" width="9.5703125" style="1165" customWidth="1"/>
    <col min="5150" max="5150" width="6.28515625" style="1165" customWidth="1"/>
    <col min="5151" max="5151" width="5.85546875" style="1165" customWidth="1"/>
    <col min="5152" max="5153" width="4.42578125" style="1165" customWidth="1"/>
    <col min="5154" max="5154" width="5" style="1165" customWidth="1"/>
    <col min="5155" max="5155" width="5.85546875" style="1165" customWidth="1"/>
    <col min="5156" max="5156" width="6.140625" style="1165" customWidth="1"/>
    <col min="5157" max="5157" width="6.28515625" style="1165" customWidth="1"/>
    <col min="5158" max="5158" width="11.140625" style="1165" customWidth="1"/>
    <col min="5159" max="5159" width="14.140625" style="1165" customWidth="1"/>
    <col min="5160" max="5160" width="19.85546875" style="1165" customWidth="1"/>
    <col min="5161" max="5161" width="17" style="1165" customWidth="1"/>
    <col min="5162" max="5162" width="20.85546875" style="1165" customWidth="1"/>
    <col min="5163" max="5375" width="11.42578125" style="1165"/>
    <col min="5376" max="5376" width="13.140625" style="1165" customWidth="1"/>
    <col min="5377" max="5377" width="4" style="1165" customWidth="1"/>
    <col min="5378" max="5378" width="12.85546875" style="1165" customWidth="1"/>
    <col min="5379" max="5379" width="14.7109375" style="1165" customWidth="1"/>
    <col min="5380" max="5380" width="10" style="1165" customWidth="1"/>
    <col min="5381" max="5381" width="6.28515625" style="1165" customWidth="1"/>
    <col min="5382" max="5382" width="12.28515625" style="1165" customWidth="1"/>
    <col min="5383" max="5383" width="8.5703125" style="1165" customWidth="1"/>
    <col min="5384" max="5384" width="13.7109375" style="1165" customWidth="1"/>
    <col min="5385" max="5385" width="11.5703125" style="1165" customWidth="1"/>
    <col min="5386" max="5386" width="34.28515625" style="1165" customWidth="1"/>
    <col min="5387" max="5387" width="24.28515625" style="1165" customWidth="1"/>
    <col min="5388" max="5388" width="21.140625" style="1165" customWidth="1"/>
    <col min="5389" max="5389" width="22.140625" style="1165" customWidth="1"/>
    <col min="5390" max="5390" width="8" style="1165" customWidth="1"/>
    <col min="5391" max="5391" width="17" style="1165" customWidth="1"/>
    <col min="5392" max="5392" width="12.7109375" style="1165" customWidth="1"/>
    <col min="5393" max="5393" width="24.5703125" style="1165" customWidth="1"/>
    <col min="5394" max="5394" width="29" style="1165" customWidth="1"/>
    <col min="5395" max="5395" width="17.7109375" style="1165" customWidth="1"/>
    <col min="5396" max="5396" width="36.42578125" style="1165" customWidth="1"/>
    <col min="5397" max="5397" width="21.85546875" style="1165" customWidth="1"/>
    <col min="5398" max="5398" width="11.7109375" style="1165" customWidth="1"/>
    <col min="5399" max="5399" width="26.28515625" style="1165" customWidth="1"/>
    <col min="5400" max="5400" width="9" style="1165" customWidth="1"/>
    <col min="5401" max="5401" width="6.28515625" style="1165" customWidth="1"/>
    <col min="5402" max="5403" width="7.28515625" style="1165" customWidth="1"/>
    <col min="5404" max="5404" width="8.42578125" style="1165" customWidth="1"/>
    <col min="5405" max="5405" width="9.5703125" style="1165" customWidth="1"/>
    <col min="5406" max="5406" width="6.28515625" style="1165" customWidth="1"/>
    <col min="5407" max="5407" width="5.85546875" style="1165" customWidth="1"/>
    <col min="5408" max="5409" width="4.42578125" style="1165" customWidth="1"/>
    <col min="5410" max="5410" width="5" style="1165" customWidth="1"/>
    <col min="5411" max="5411" width="5.85546875" style="1165" customWidth="1"/>
    <col min="5412" max="5412" width="6.140625" style="1165" customWidth="1"/>
    <col min="5413" max="5413" width="6.28515625" style="1165" customWidth="1"/>
    <col min="5414" max="5414" width="11.140625" style="1165" customWidth="1"/>
    <col min="5415" max="5415" width="14.140625" style="1165" customWidth="1"/>
    <col min="5416" max="5416" width="19.85546875" style="1165" customWidth="1"/>
    <col min="5417" max="5417" width="17" style="1165" customWidth="1"/>
    <col min="5418" max="5418" width="20.85546875" style="1165" customWidth="1"/>
    <col min="5419" max="5631" width="11.42578125" style="1165"/>
    <col min="5632" max="5632" width="13.140625" style="1165" customWidth="1"/>
    <col min="5633" max="5633" width="4" style="1165" customWidth="1"/>
    <col min="5634" max="5634" width="12.85546875" style="1165" customWidth="1"/>
    <col min="5635" max="5635" width="14.7109375" style="1165" customWidth="1"/>
    <col min="5636" max="5636" width="10" style="1165" customWidth="1"/>
    <col min="5637" max="5637" width="6.28515625" style="1165" customWidth="1"/>
    <col min="5638" max="5638" width="12.28515625" style="1165" customWidth="1"/>
    <col min="5639" max="5639" width="8.5703125" style="1165" customWidth="1"/>
    <col min="5640" max="5640" width="13.7109375" style="1165" customWidth="1"/>
    <col min="5641" max="5641" width="11.5703125" style="1165" customWidth="1"/>
    <col min="5642" max="5642" width="34.28515625" style="1165" customWidth="1"/>
    <col min="5643" max="5643" width="24.28515625" style="1165" customWidth="1"/>
    <col min="5644" max="5644" width="21.140625" style="1165" customWidth="1"/>
    <col min="5645" max="5645" width="22.140625" style="1165" customWidth="1"/>
    <col min="5646" max="5646" width="8" style="1165" customWidth="1"/>
    <col min="5647" max="5647" width="17" style="1165" customWidth="1"/>
    <col min="5648" max="5648" width="12.7109375" style="1165" customWidth="1"/>
    <col min="5649" max="5649" width="24.5703125" style="1165" customWidth="1"/>
    <col min="5650" max="5650" width="29" style="1165" customWidth="1"/>
    <col min="5651" max="5651" width="17.7109375" style="1165" customWidth="1"/>
    <col min="5652" max="5652" width="36.42578125" style="1165" customWidth="1"/>
    <col min="5653" max="5653" width="21.85546875" style="1165" customWidth="1"/>
    <col min="5654" max="5654" width="11.7109375" style="1165" customWidth="1"/>
    <col min="5655" max="5655" width="26.28515625" style="1165" customWidth="1"/>
    <col min="5656" max="5656" width="9" style="1165" customWidth="1"/>
    <col min="5657" max="5657" width="6.28515625" style="1165" customWidth="1"/>
    <col min="5658" max="5659" width="7.28515625" style="1165" customWidth="1"/>
    <col min="5660" max="5660" width="8.42578125" style="1165" customWidth="1"/>
    <col min="5661" max="5661" width="9.5703125" style="1165" customWidth="1"/>
    <col min="5662" max="5662" width="6.28515625" style="1165" customWidth="1"/>
    <col min="5663" max="5663" width="5.85546875" style="1165" customWidth="1"/>
    <col min="5664" max="5665" width="4.42578125" style="1165" customWidth="1"/>
    <col min="5666" max="5666" width="5" style="1165" customWidth="1"/>
    <col min="5667" max="5667" width="5.85546875" style="1165" customWidth="1"/>
    <col min="5668" max="5668" width="6.140625" style="1165" customWidth="1"/>
    <col min="5669" max="5669" width="6.28515625" style="1165" customWidth="1"/>
    <col min="5670" max="5670" width="11.140625" style="1165" customWidth="1"/>
    <col min="5671" max="5671" width="14.140625" style="1165" customWidth="1"/>
    <col min="5672" max="5672" width="19.85546875" style="1165" customWidth="1"/>
    <col min="5673" max="5673" width="17" style="1165" customWidth="1"/>
    <col min="5674" max="5674" width="20.85546875" style="1165" customWidth="1"/>
    <col min="5675" max="5887" width="11.42578125" style="1165"/>
    <col min="5888" max="5888" width="13.140625" style="1165" customWidth="1"/>
    <col min="5889" max="5889" width="4" style="1165" customWidth="1"/>
    <col min="5890" max="5890" width="12.85546875" style="1165" customWidth="1"/>
    <col min="5891" max="5891" width="14.7109375" style="1165" customWidth="1"/>
    <col min="5892" max="5892" width="10" style="1165" customWidth="1"/>
    <col min="5893" max="5893" width="6.28515625" style="1165" customWidth="1"/>
    <col min="5894" max="5894" width="12.28515625" style="1165" customWidth="1"/>
    <col min="5895" max="5895" width="8.5703125" style="1165" customWidth="1"/>
    <col min="5896" max="5896" width="13.7109375" style="1165" customWidth="1"/>
    <col min="5897" max="5897" width="11.5703125" style="1165" customWidth="1"/>
    <col min="5898" max="5898" width="34.28515625" style="1165" customWidth="1"/>
    <col min="5899" max="5899" width="24.28515625" style="1165" customWidth="1"/>
    <col min="5900" max="5900" width="21.140625" style="1165" customWidth="1"/>
    <col min="5901" max="5901" width="22.140625" style="1165" customWidth="1"/>
    <col min="5902" max="5902" width="8" style="1165" customWidth="1"/>
    <col min="5903" max="5903" width="17" style="1165" customWidth="1"/>
    <col min="5904" max="5904" width="12.7109375" style="1165" customWidth="1"/>
    <col min="5905" max="5905" width="24.5703125" style="1165" customWidth="1"/>
    <col min="5906" max="5906" width="29" style="1165" customWidth="1"/>
    <col min="5907" max="5907" width="17.7109375" style="1165" customWidth="1"/>
    <col min="5908" max="5908" width="36.42578125" style="1165" customWidth="1"/>
    <col min="5909" max="5909" width="21.85546875" style="1165" customWidth="1"/>
    <col min="5910" max="5910" width="11.7109375" style="1165" customWidth="1"/>
    <col min="5911" max="5911" width="26.28515625" style="1165" customWidth="1"/>
    <col min="5912" max="5912" width="9" style="1165" customWidth="1"/>
    <col min="5913" max="5913" width="6.28515625" style="1165" customWidth="1"/>
    <col min="5914" max="5915" width="7.28515625" style="1165" customWidth="1"/>
    <col min="5916" max="5916" width="8.42578125" style="1165" customWidth="1"/>
    <col min="5917" max="5917" width="9.5703125" style="1165" customWidth="1"/>
    <col min="5918" max="5918" width="6.28515625" style="1165" customWidth="1"/>
    <col min="5919" max="5919" width="5.85546875" style="1165" customWidth="1"/>
    <col min="5920" max="5921" width="4.42578125" style="1165" customWidth="1"/>
    <col min="5922" max="5922" width="5" style="1165" customWidth="1"/>
    <col min="5923" max="5923" width="5.85546875" style="1165" customWidth="1"/>
    <col min="5924" max="5924" width="6.140625" style="1165" customWidth="1"/>
    <col min="5925" max="5925" width="6.28515625" style="1165" customWidth="1"/>
    <col min="5926" max="5926" width="11.140625" style="1165" customWidth="1"/>
    <col min="5927" max="5927" width="14.140625" style="1165" customWidth="1"/>
    <col min="5928" max="5928" width="19.85546875" style="1165" customWidth="1"/>
    <col min="5929" max="5929" width="17" style="1165" customWidth="1"/>
    <col min="5930" max="5930" width="20.85546875" style="1165" customWidth="1"/>
    <col min="5931" max="6143" width="11.42578125" style="1165"/>
    <col min="6144" max="6144" width="13.140625" style="1165" customWidth="1"/>
    <col min="6145" max="6145" width="4" style="1165" customWidth="1"/>
    <col min="6146" max="6146" width="12.85546875" style="1165" customWidth="1"/>
    <col min="6147" max="6147" width="14.7109375" style="1165" customWidth="1"/>
    <col min="6148" max="6148" width="10" style="1165" customWidth="1"/>
    <col min="6149" max="6149" width="6.28515625" style="1165" customWidth="1"/>
    <col min="6150" max="6150" width="12.28515625" style="1165" customWidth="1"/>
    <col min="6151" max="6151" width="8.5703125" style="1165" customWidth="1"/>
    <col min="6152" max="6152" width="13.7109375" style="1165" customWidth="1"/>
    <col min="6153" max="6153" width="11.5703125" style="1165" customWidth="1"/>
    <col min="6154" max="6154" width="34.28515625" style="1165" customWidth="1"/>
    <col min="6155" max="6155" width="24.28515625" style="1165" customWidth="1"/>
    <col min="6156" max="6156" width="21.140625" style="1165" customWidth="1"/>
    <col min="6157" max="6157" width="22.140625" style="1165" customWidth="1"/>
    <col min="6158" max="6158" width="8" style="1165" customWidth="1"/>
    <col min="6159" max="6159" width="17" style="1165" customWidth="1"/>
    <col min="6160" max="6160" width="12.7109375" style="1165" customWidth="1"/>
    <col min="6161" max="6161" width="24.5703125" style="1165" customWidth="1"/>
    <col min="6162" max="6162" width="29" style="1165" customWidth="1"/>
    <col min="6163" max="6163" width="17.7109375" style="1165" customWidth="1"/>
    <col min="6164" max="6164" width="36.42578125" style="1165" customWidth="1"/>
    <col min="6165" max="6165" width="21.85546875" style="1165" customWidth="1"/>
    <col min="6166" max="6166" width="11.7109375" style="1165" customWidth="1"/>
    <col min="6167" max="6167" width="26.28515625" style="1165" customWidth="1"/>
    <col min="6168" max="6168" width="9" style="1165" customWidth="1"/>
    <col min="6169" max="6169" width="6.28515625" style="1165" customWidth="1"/>
    <col min="6170" max="6171" width="7.28515625" style="1165" customWidth="1"/>
    <col min="6172" max="6172" width="8.42578125" style="1165" customWidth="1"/>
    <col min="6173" max="6173" width="9.5703125" style="1165" customWidth="1"/>
    <col min="6174" max="6174" width="6.28515625" style="1165" customWidth="1"/>
    <col min="6175" max="6175" width="5.85546875" style="1165" customWidth="1"/>
    <col min="6176" max="6177" width="4.42578125" style="1165" customWidth="1"/>
    <col min="6178" max="6178" width="5" style="1165" customWidth="1"/>
    <col min="6179" max="6179" width="5.85546875" style="1165" customWidth="1"/>
    <col min="6180" max="6180" width="6.140625" style="1165" customWidth="1"/>
    <col min="6181" max="6181" width="6.28515625" style="1165" customWidth="1"/>
    <col min="6182" max="6182" width="11.140625" style="1165" customWidth="1"/>
    <col min="6183" max="6183" width="14.140625" style="1165" customWidth="1"/>
    <col min="6184" max="6184" width="19.85546875" style="1165" customWidth="1"/>
    <col min="6185" max="6185" width="17" style="1165" customWidth="1"/>
    <col min="6186" max="6186" width="20.85546875" style="1165" customWidth="1"/>
    <col min="6187" max="6399" width="11.42578125" style="1165"/>
    <col min="6400" max="6400" width="13.140625" style="1165" customWidth="1"/>
    <col min="6401" max="6401" width="4" style="1165" customWidth="1"/>
    <col min="6402" max="6402" width="12.85546875" style="1165" customWidth="1"/>
    <col min="6403" max="6403" width="14.7109375" style="1165" customWidth="1"/>
    <col min="6404" max="6404" width="10" style="1165" customWidth="1"/>
    <col min="6405" max="6405" width="6.28515625" style="1165" customWidth="1"/>
    <col min="6406" max="6406" width="12.28515625" style="1165" customWidth="1"/>
    <col min="6407" max="6407" width="8.5703125" style="1165" customWidth="1"/>
    <col min="6408" max="6408" width="13.7109375" style="1165" customWidth="1"/>
    <col min="6409" max="6409" width="11.5703125" style="1165" customWidth="1"/>
    <col min="6410" max="6410" width="34.28515625" style="1165" customWidth="1"/>
    <col min="6411" max="6411" width="24.28515625" style="1165" customWidth="1"/>
    <col min="6412" max="6412" width="21.140625" style="1165" customWidth="1"/>
    <col min="6413" max="6413" width="22.140625" style="1165" customWidth="1"/>
    <col min="6414" max="6414" width="8" style="1165" customWidth="1"/>
    <col min="6415" max="6415" width="17" style="1165" customWidth="1"/>
    <col min="6416" max="6416" width="12.7109375" style="1165" customWidth="1"/>
    <col min="6417" max="6417" width="24.5703125" style="1165" customWidth="1"/>
    <col min="6418" max="6418" width="29" style="1165" customWidth="1"/>
    <col min="6419" max="6419" width="17.7109375" style="1165" customWidth="1"/>
    <col min="6420" max="6420" width="36.42578125" style="1165" customWidth="1"/>
    <col min="6421" max="6421" width="21.85546875" style="1165" customWidth="1"/>
    <col min="6422" max="6422" width="11.7109375" style="1165" customWidth="1"/>
    <col min="6423" max="6423" width="26.28515625" style="1165" customWidth="1"/>
    <col min="6424" max="6424" width="9" style="1165" customWidth="1"/>
    <col min="6425" max="6425" width="6.28515625" style="1165" customWidth="1"/>
    <col min="6426" max="6427" width="7.28515625" style="1165" customWidth="1"/>
    <col min="6428" max="6428" width="8.42578125" style="1165" customWidth="1"/>
    <col min="6429" max="6429" width="9.5703125" style="1165" customWidth="1"/>
    <col min="6430" max="6430" width="6.28515625" style="1165" customWidth="1"/>
    <col min="6431" max="6431" width="5.85546875" style="1165" customWidth="1"/>
    <col min="6432" max="6433" width="4.42578125" style="1165" customWidth="1"/>
    <col min="6434" max="6434" width="5" style="1165" customWidth="1"/>
    <col min="6435" max="6435" width="5.85546875" style="1165" customWidth="1"/>
    <col min="6436" max="6436" width="6.140625" style="1165" customWidth="1"/>
    <col min="6437" max="6437" width="6.28515625" style="1165" customWidth="1"/>
    <col min="6438" max="6438" width="11.140625" style="1165" customWidth="1"/>
    <col min="6439" max="6439" width="14.140625" style="1165" customWidth="1"/>
    <col min="6440" max="6440" width="19.85546875" style="1165" customWidth="1"/>
    <col min="6441" max="6441" width="17" style="1165" customWidth="1"/>
    <col min="6442" max="6442" width="20.85546875" style="1165" customWidth="1"/>
    <col min="6443" max="6655" width="11.42578125" style="1165"/>
    <col min="6656" max="6656" width="13.140625" style="1165" customWidth="1"/>
    <col min="6657" max="6657" width="4" style="1165" customWidth="1"/>
    <col min="6658" max="6658" width="12.85546875" style="1165" customWidth="1"/>
    <col min="6659" max="6659" width="14.7109375" style="1165" customWidth="1"/>
    <col min="6660" max="6660" width="10" style="1165" customWidth="1"/>
    <col min="6661" max="6661" width="6.28515625" style="1165" customWidth="1"/>
    <col min="6662" max="6662" width="12.28515625" style="1165" customWidth="1"/>
    <col min="6663" max="6663" width="8.5703125" style="1165" customWidth="1"/>
    <col min="6664" max="6664" width="13.7109375" style="1165" customWidth="1"/>
    <col min="6665" max="6665" width="11.5703125" style="1165" customWidth="1"/>
    <col min="6666" max="6666" width="34.28515625" style="1165" customWidth="1"/>
    <col min="6667" max="6667" width="24.28515625" style="1165" customWidth="1"/>
    <col min="6668" max="6668" width="21.140625" style="1165" customWidth="1"/>
    <col min="6669" max="6669" width="22.140625" style="1165" customWidth="1"/>
    <col min="6670" max="6670" width="8" style="1165" customWidth="1"/>
    <col min="6671" max="6671" width="17" style="1165" customWidth="1"/>
    <col min="6672" max="6672" width="12.7109375" style="1165" customWidth="1"/>
    <col min="6673" max="6673" width="24.5703125" style="1165" customWidth="1"/>
    <col min="6674" max="6674" width="29" style="1165" customWidth="1"/>
    <col min="6675" max="6675" width="17.7109375" style="1165" customWidth="1"/>
    <col min="6676" max="6676" width="36.42578125" style="1165" customWidth="1"/>
    <col min="6677" max="6677" width="21.85546875" style="1165" customWidth="1"/>
    <col min="6678" max="6678" width="11.7109375" style="1165" customWidth="1"/>
    <col min="6679" max="6679" width="26.28515625" style="1165" customWidth="1"/>
    <col min="6680" max="6680" width="9" style="1165" customWidth="1"/>
    <col min="6681" max="6681" width="6.28515625" style="1165" customWidth="1"/>
    <col min="6682" max="6683" width="7.28515625" style="1165" customWidth="1"/>
    <col min="6684" max="6684" width="8.42578125" style="1165" customWidth="1"/>
    <col min="6685" max="6685" width="9.5703125" style="1165" customWidth="1"/>
    <col min="6686" max="6686" width="6.28515625" style="1165" customWidth="1"/>
    <col min="6687" max="6687" width="5.85546875" style="1165" customWidth="1"/>
    <col min="6688" max="6689" width="4.42578125" style="1165" customWidth="1"/>
    <col min="6690" max="6690" width="5" style="1165" customWidth="1"/>
    <col min="6691" max="6691" width="5.85546875" style="1165" customWidth="1"/>
    <col min="6692" max="6692" width="6.140625" style="1165" customWidth="1"/>
    <col min="6693" max="6693" width="6.28515625" style="1165" customWidth="1"/>
    <col min="6694" max="6694" width="11.140625" style="1165" customWidth="1"/>
    <col min="6695" max="6695" width="14.140625" style="1165" customWidth="1"/>
    <col min="6696" max="6696" width="19.85546875" style="1165" customWidth="1"/>
    <col min="6697" max="6697" width="17" style="1165" customWidth="1"/>
    <col min="6698" max="6698" width="20.85546875" style="1165" customWidth="1"/>
    <col min="6699" max="6911" width="11.42578125" style="1165"/>
    <col min="6912" max="6912" width="13.140625" style="1165" customWidth="1"/>
    <col min="6913" max="6913" width="4" style="1165" customWidth="1"/>
    <col min="6914" max="6914" width="12.85546875" style="1165" customWidth="1"/>
    <col min="6915" max="6915" width="14.7109375" style="1165" customWidth="1"/>
    <col min="6916" max="6916" width="10" style="1165" customWidth="1"/>
    <col min="6917" max="6917" width="6.28515625" style="1165" customWidth="1"/>
    <col min="6918" max="6918" width="12.28515625" style="1165" customWidth="1"/>
    <col min="6919" max="6919" width="8.5703125" style="1165" customWidth="1"/>
    <col min="6920" max="6920" width="13.7109375" style="1165" customWidth="1"/>
    <col min="6921" max="6921" width="11.5703125" style="1165" customWidth="1"/>
    <col min="6922" max="6922" width="34.28515625" style="1165" customWidth="1"/>
    <col min="6923" max="6923" width="24.28515625" style="1165" customWidth="1"/>
    <col min="6924" max="6924" width="21.140625" style="1165" customWidth="1"/>
    <col min="6925" max="6925" width="22.140625" style="1165" customWidth="1"/>
    <col min="6926" max="6926" width="8" style="1165" customWidth="1"/>
    <col min="6927" max="6927" width="17" style="1165" customWidth="1"/>
    <col min="6928" max="6928" width="12.7109375" style="1165" customWidth="1"/>
    <col min="6929" max="6929" width="24.5703125" style="1165" customWidth="1"/>
    <col min="6930" max="6930" width="29" style="1165" customWidth="1"/>
    <col min="6931" max="6931" width="17.7109375" style="1165" customWidth="1"/>
    <col min="6932" max="6932" width="36.42578125" style="1165" customWidth="1"/>
    <col min="6933" max="6933" width="21.85546875" style="1165" customWidth="1"/>
    <col min="6934" max="6934" width="11.7109375" style="1165" customWidth="1"/>
    <col min="6935" max="6935" width="26.28515625" style="1165" customWidth="1"/>
    <col min="6936" max="6936" width="9" style="1165" customWidth="1"/>
    <col min="6937" max="6937" width="6.28515625" style="1165" customWidth="1"/>
    <col min="6938" max="6939" width="7.28515625" style="1165" customWidth="1"/>
    <col min="6940" max="6940" width="8.42578125" style="1165" customWidth="1"/>
    <col min="6941" max="6941" width="9.5703125" style="1165" customWidth="1"/>
    <col min="6942" max="6942" width="6.28515625" style="1165" customWidth="1"/>
    <col min="6943" max="6943" width="5.85546875" style="1165" customWidth="1"/>
    <col min="6944" max="6945" width="4.42578125" style="1165" customWidth="1"/>
    <col min="6946" max="6946" width="5" style="1165" customWidth="1"/>
    <col min="6947" max="6947" width="5.85546875" style="1165" customWidth="1"/>
    <col min="6948" max="6948" width="6.140625" style="1165" customWidth="1"/>
    <col min="6949" max="6949" width="6.28515625" style="1165" customWidth="1"/>
    <col min="6950" max="6950" width="11.140625" style="1165" customWidth="1"/>
    <col min="6951" max="6951" width="14.140625" style="1165" customWidth="1"/>
    <col min="6952" max="6952" width="19.85546875" style="1165" customWidth="1"/>
    <col min="6953" max="6953" width="17" style="1165" customWidth="1"/>
    <col min="6954" max="6954" width="20.85546875" style="1165" customWidth="1"/>
    <col min="6955" max="7167" width="11.42578125" style="1165"/>
    <col min="7168" max="7168" width="13.140625" style="1165" customWidth="1"/>
    <col min="7169" max="7169" width="4" style="1165" customWidth="1"/>
    <col min="7170" max="7170" width="12.85546875" style="1165" customWidth="1"/>
    <col min="7171" max="7171" width="14.7109375" style="1165" customWidth="1"/>
    <col min="7172" max="7172" width="10" style="1165" customWidth="1"/>
    <col min="7173" max="7173" width="6.28515625" style="1165" customWidth="1"/>
    <col min="7174" max="7174" width="12.28515625" style="1165" customWidth="1"/>
    <col min="7175" max="7175" width="8.5703125" style="1165" customWidth="1"/>
    <col min="7176" max="7176" width="13.7109375" style="1165" customWidth="1"/>
    <col min="7177" max="7177" width="11.5703125" style="1165" customWidth="1"/>
    <col min="7178" max="7178" width="34.28515625" style="1165" customWidth="1"/>
    <col min="7179" max="7179" width="24.28515625" style="1165" customWidth="1"/>
    <col min="7180" max="7180" width="21.140625" style="1165" customWidth="1"/>
    <col min="7181" max="7181" width="22.140625" style="1165" customWidth="1"/>
    <col min="7182" max="7182" width="8" style="1165" customWidth="1"/>
    <col min="7183" max="7183" width="17" style="1165" customWidth="1"/>
    <col min="7184" max="7184" width="12.7109375" style="1165" customWidth="1"/>
    <col min="7185" max="7185" width="24.5703125" style="1165" customWidth="1"/>
    <col min="7186" max="7186" width="29" style="1165" customWidth="1"/>
    <col min="7187" max="7187" width="17.7109375" style="1165" customWidth="1"/>
    <col min="7188" max="7188" width="36.42578125" style="1165" customWidth="1"/>
    <col min="7189" max="7189" width="21.85546875" style="1165" customWidth="1"/>
    <col min="7190" max="7190" width="11.7109375" style="1165" customWidth="1"/>
    <col min="7191" max="7191" width="26.28515625" style="1165" customWidth="1"/>
    <col min="7192" max="7192" width="9" style="1165" customWidth="1"/>
    <col min="7193" max="7193" width="6.28515625" style="1165" customWidth="1"/>
    <col min="7194" max="7195" width="7.28515625" style="1165" customWidth="1"/>
    <col min="7196" max="7196" width="8.42578125" style="1165" customWidth="1"/>
    <col min="7197" max="7197" width="9.5703125" style="1165" customWidth="1"/>
    <col min="7198" max="7198" width="6.28515625" style="1165" customWidth="1"/>
    <col min="7199" max="7199" width="5.85546875" style="1165" customWidth="1"/>
    <col min="7200" max="7201" width="4.42578125" style="1165" customWidth="1"/>
    <col min="7202" max="7202" width="5" style="1165" customWidth="1"/>
    <col min="7203" max="7203" width="5.85546875" style="1165" customWidth="1"/>
    <col min="7204" max="7204" width="6.140625" style="1165" customWidth="1"/>
    <col min="7205" max="7205" width="6.28515625" style="1165" customWidth="1"/>
    <col min="7206" max="7206" width="11.140625" style="1165" customWidth="1"/>
    <col min="7207" max="7207" width="14.140625" style="1165" customWidth="1"/>
    <col min="7208" max="7208" width="19.85546875" style="1165" customWidth="1"/>
    <col min="7209" max="7209" width="17" style="1165" customWidth="1"/>
    <col min="7210" max="7210" width="20.85546875" style="1165" customWidth="1"/>
    <col min="7211" max="7423" width="11.42578125" style="1165"/>
    <col min="7424" max="7424" width="13.140625" style="1165" customWidth="1"/>
    <col min="7425" max="7425" width="4" style="1165" customWidth="1"/>
    <col min="7426" max="7426" width="12.85546875" style="1165" customWidth="1"/>
    <col min="7427" max="7427" width="14.7109375" style="1165" customWidth="1"/>
    <col min="7428" max="7428" width="10" style="1165" customWidth="1"/>
    <col min="7429" max="7429" width="6.28515625" style="1165" customWidth="1"/>
    <col min="7430" max="7430" width="12.28515625" style="1165" customWidth="1"/>
    <col min="7431" max="7431" width="8.5703125" style="1165" customWidth="1"/>
    <col min="7432" max="7432" width="13.7109375" style="1165" customWidth="1"/>
    <col min="7433" max="7433" width="11.5703125" style="1165" customWidth="1"/>
    <col min="7434" max="7434" width="34.28515625" style="1165" customWidth="1"/>
    <col min="7435" max="7435" width="24.28515625" style="1165" customWidth="1"/>
    <col min="7436" max="7436" width="21.140625" style="1165" customWidth="1"/>
    <col min="7437" max="7437" width="22.140625" style="1165" customWidth="1"/>
    <col min="7438" max="7438" width="8" style="1165" customWidth="1"/>
    <col min="7439" max="7439" width="17" style="1165" customWidth="1"/>
    <col min="7440" max="7440" width="12.7109375" style="1165" customWidth="1"/>
    <col min="7441" max="7441" width="24.5703125" style="1165" customWidth="1"/>
    <col min="7442" max="7442" width="29" style="1165" customWidth="1"/>
    <col min="7443" max="7443" width="17.7109375" style="1165" customWidth="1"/>
    <col min="7444" max="7444" width="36.42578125" style="1165" customWidth="1"/>
    <col min="7445" max="7445" width="21.85546875" style="1165" customWidth="1"/>
    <col min="7446" max="7446" width="11.7109375" style="1165" customWidth="1"/>
    <col min="7447" max="7447" width="26.28515625" style="1165" customWidth="1"/>
    <col min="7448" max="7448" width="9" style="1165" customWidth="1"/>
    <col min="7449" max="7449" width="6.28515625" style="1165" customWidth="1"/>
    <col min="7450" max="7451" width="7.28515625" style="1165" customWidth="1"/>
    <col min="7452" max="7452" width="8.42578125" style="1165" customWidth="1"/>
    <col min="7453" max="7453" width="9.5703125" style="1165" customWidth="1"/>
    <col min="7454" max="7454" width="6.28515625" style="1165" customWidth="1"/>
    <col min="7455" max="7455" width="5.85546875" style="1165" customWidth="1"/>
    <col min="7456" max="7457" width="4.42578125" style="1165" customWidth="1"/>
    <col min="7458" max="7458" width="5" style="1165" customWidth="1"/>
    <col min="7459" max="7459" width="5.85546875" style="1165" customWidth="1"/>
    <col min="7460" max="7460" width="6.140625" style="1165" customWidth="1"/>
    <col min="7461" max="7461" width="6.28515625" style="1165" customWidth="1"/>
    <col min="7462" max="7462" width="11.140625" style="1165" customWidth="1"/>
    <col min="7463" max="7463" width="14.140625" style="1165" customWidth="1"/>
    <col min="7464" max="7464" width="19.85546875" style="1165" customWidth="1"/>
    <col min="7465" max="7465" width="17" style="1165" customWidth="1"/>
    <col min="7466" max="7466" width="20.85546875" style="1165" customWidth="1"/>
    <col min="7467" max="7679" width="11.42578125" style="1165"/>
    <col min="7680" max="7680" width="13.140625" style="1165" customWidth="1"/>
    <col min="7681" max="7681" width="4" style="1165" customWidth="1"/>
    <col min="7682" max="7682" width="12.85546875" style="1165" customWidth="1"/>
    <col min="7683" max="7683" width="14.7109375" style="1165" customWidth="1"/>
    <col min="7684" max="7684" width="10" style="1165" customWidth="1"/>
    <col min="7685" max="7685" width="6.28515625" style="1165" customWidth="1"/>
    <col min="7686" max="7686" width="12.28515625" style="1165" customWidth="1"/>
    <col min="7687" max="7687" width="8.5703125" style="1165" customWidth="1"/>
    <col min="7688" max="7688" width="13.7109375" style="1165" customWidth="1"/>
    <col min="7689" max="7689" width="11.5703125" style="1165" customWidth="1"/>
    <col min="7690" max="7690" width="34.28515625" style="1165" customWidth="1"/>
    <col min="7691" max="7691" width="24.28515625" style="1165" customWidth="1"/>
    <col min="7692" max="7692" width="21.140625" style="1165" customWidth="1"/>
    <col min="7693" max="7693" width="22.140625" style="1165" customWidth="1"/>
    <col min="7694" max="7694" width="8" style="1165" customWidth="1"/>
    <col min="7695" max="7695" width="17" style="1165" customWidth="1"/>
    <col min="7696" max="7696" width="12.7109375" style="1165" customWidth="1"/>
    <col min="7697" max="7697" width="24.5703125" style="1165" customWidth="1"/>
    <col min="7698" max="7698" width="29" style="1165" customWidth="1"/>
    <col min="7699" max="7699" width="17.7109375" style="1165" customWidth="1"/>
    <col min="7700" max="7700" width="36.42578125" style="1165" customWidth="1"/>
    <col min="7701" max="7701" width="21.85546875" style="1165" customWidth="1"/>
    <col min="7702" max="7702" width="11.7109375" style="1165" customWidth="1"/>
    <col min="7703" max="7703" width="26.28515625" style="1165" customWidth="1"/>
    <col min="7704" max="7704" width="9" style="1165" customWidth="1"/>
    <col min="7705" max="7705" width="6.28515625" style="1165" customWidth="1"/>
    <col min="7706" max="7707" width="7.28515625" style="1165" customWidth="1"/>
    <col min="7708" max="7708" width="8.42578125" style="1165" customWidth="1"/>
    <col min="7709" max="7709" width="9.5703125" style="1165" customWidth="1"/>
    <col min="7710" max="7710" width="6.28515625" style="1165" customWidth="1"/>
    <col min="7711" max="7711" width="5.85546875" style="1165" customWidth="1"/>
    <col min="7712" max="7713" width="4.42578125" style="1165" customWidth="1"/>
    <col min="7714" max="7714" width="5" style="1165" customWidth="1"/>
    <col min="7715" max="7715" width="5.85546875" style="1165" customWidth="1"/>
    <col min="7716" max="7716" width="6.140625" style="1165" customWidth="1"/>
    <col min="7717" max="7717" width="6.28515625" style="1165" customWidth="1"/>
    <col min="7718" max="7718" width="11.140625" style="1165" customWidth="1"/>
    <col min="7719" max="7719" width="14.140625" style="1165" customWidth="1"/>
    <col min="7720" max="7720" width="19.85546875" style="1165" customWidth="1"/>
    <col min="7721" max="7721" width="17" style="1165" customWidth="1"/>
    <col min="7722" max="7722" width="20.85546875" style="1165" customWidth="1"/>
    <col min="7723" max="7935" width="11.42578125" style="1165"/>
    <col min="7936" max="7936" width="13.140625" style="1165" customWidth="1"/>
    <col min="7937" max="7937" width="4" style="1165" customWidth="1"/>
    <col min="7938" max="7938" width="12.85546875" style="1165" customWidth="1"/>
    <col min="7939" max="7939" width="14.7109375" style="1165" customWidth="1"/>
    <col min="7940" max="7940" width="10" style="1165" customWidth="1"/>
    <col min="7941" max="7941" width="6.28515625" style="1165" customWidth="1"/>
    <col min="7942" max="7942" width="12.28515625" style="1165" customWidth="1"/>
    <col min="7943" max="7943" width="8.5703125" style="1165" customWidth="1"/>
    <col min="7944" max="7944" width="13.7109375" style="1165" customWidth="1"/>
    <col min="7945" max="7945" width="11.5703125" style="1165" customWidth="1"/>
    <col min="7946" max="7946" width="34.28515625" style="1165" customWidth="1"/>
    <col min="7947" max="7947" width="24.28515625" style="1165" customWidth="1"/>
    <col min="7948" max="7948" width="21.140625" style="1165" customWidth="1"/>
    <col min="7949" max="7949" width="22.140625" style="1165" customWidth="1"/>
    <col min="7950" max="7950" width="8" style="1165" customWidth="1"/>
    <col min="7951" max="7951" width="17" style="1165" customWidth="1"/>
    <col min="7952" max="7952" width="12.7109375" style="1165" customWidth="1"/>
    <col min="7953" max="7953" width="24.5703125" style="1165" customWidth="1"/>
    <col min="7954" max="7954" width="29" style="1165" customWidth="1"/>
    <col min="7955" max="7955" width="17.7109375" style="1165" customWidth="1"/>
    <col min="7956" max="7956" width="36.42578125" style="1165" customWidth="1"/>
    <col min="7957" max="7957" width="21.85546875" style="1165" customWidth="1"/>
    <col min="7958" max="7958" width="11.7109375" style="1165" customWidth="1"/>
    <col min="7959" max="7959" width="26.28515625" style="1165" customWidth="1"/>
    <col min="7960" max="7960" width="9" style="1165" customWidth="1"/>
    <col min="7961" max="7961" width="6.28515625" style="1165" customWidth="1"/>
    <col min="7962" max="7963" width="7.28515625" style="1165" customWidth="1"/>
    <col min="7964" max="7964" width="8.42578125" style="1165" customWidth="1"/>
    <col min="7965" max="7965" width="9.5703125" style="1165" customWidth="1"/>
    <col min="7966" max="7966" width="6.28515625" style="1165" customWidth="1"/>
    <col min="7967" max="7967" width="5.85546875" style="1165" customWidth="1"/>
    <col min="7968" max="7969" width="4.42578125" style="1165" customWidth="1"/>
    <col min="7970" max="7970" width="5" style="1165" customWidth="1"/>
    <col min="7971" max="7971" width="5.85546875" style="1165" customWidth="1"/>
    <col min="7972" max="7972" width="6.140625" style="1165" customWidth="1"/>
    <col min="7973" max="7973" width="6.28515625" style="1165" customWidth="1"/>
    <col min="7974" max="7974" width="11.140625" style="1165" customWidth="1"/>
    <col min="7975" max="7975" width="14.140625" style="1165" customWidth="1"/>
    <col min="7976" max="7976" width="19.85546875" style="1165" customWidth="1"/>
    <col min="7977" max="7977" width="17" style="1165" customWidth="1"/>
    <col min="7978" max="7978" width="20.85546875" style="1165" customWidth="1"/>
    <col min="7979" max="8191" width="11.42578125" style="1165"/>
    <col min="8192" max="8192" width="13.140625" style="1165" customWidth="1"/>
    <col min="8193" max="8193" width="4" style="1165" customWidth="1"/>
    <col min="8194" max="8194" width="12.85546875" style="1165" customWidth="1"/>
    <col min="8195" max="8195" width="14.7109375" style="1165" customWidth="1"/>
    <col min="8196" max="8196" width="10" style="1165" customWidth="1"/>
    <col min="8197" max="8197" width="6.28515625" style="1165" customWidth="1"/>
    <col min="8198" max="8198" width="12.28515625" style="1165" customWidth="1"/>
    <col min="8199" max="8199" width="8.5703125" style="1165" customWidth="1"/>
    <col min="8200" max="8200" width="13.7109375" style="1165" customWidth="1"/>
    <col min="8201" max="8201" width="11.5703125" style="1165" customWidth="1"/>
    <col min="8202" max="8202" width="34.28515625" style="1165" customWidth="1"/>
    <col min="8203" max="8203" width="24.28515625" style="1165" customWidth="1"/>
    <col min="8204" max="8204" width="21.140625" style="1165" customWidth="1"/>
    <col min="8205" max="8205" width="22.140625" style="1165" customWidth="1"/>
    <col min="8206" max="8206" width="8" style="1165" customWidth="1"/>
    <col min="8207" max="8207" width="17" style="1165" customWidth="1"/>
    <col min="8208" max="8208" width="12.7109375" style="1165" customWidth="1"/>
    <col min="8209" max="8209" width="24.5703125" style="1165" customWidth="1"/>
    <col min="8210" max="8210" width="29" style="1165" customWidth="1"/>
    <col min="8211" max="8211" width="17.7109375" style="1165" customWidth="1"/>
    <col min="8212" max="8212" width="36.42578125" style="1165" customWidth="1"/>
    <col min="8213" max="8213" width="21.85546875" style="1165" customWidth="1"/>
    <col min="8214" max="8214" width="11.7109375" style="1165" customWidth="1"/>
    <col min="8215" max="8215" width="26.28515625" style="1165" customWidth="1"/>
    <col min="8216" max="8216" width="9" style="1165" customWidth="1"/>
    <col min="8217" max="8217" width="6.28515625" style="1165" customWidth="1"/>
    <col min="8218" max="8219" width="7.28515625" style="1165" customWidth="1"/>
    <col min="8220" max="8220" width="8.42578125" style="1165" customWidth="1"/>
    <col min="8221" max="8221" width="9.5703125" style="1165" customWidth="1"/>
    <col min="8222" max="8222" width="6.28515625" style="1165" customWidth="1"/>
    <col min="8223" max="8223" width="5.85546875" style="1165" customWidth="1"/>
    <col min="8224" max="8225" width="4.42578125" style="1165" customWidth="1"/>
    <col min="8226" max="8226" width="5" style="1165" customWidth="1"/>
    <col min="8227" max="8227" width="5.85546875" style="1165" customWidth="1"/>
    <col min="8228" max="8228" width="6.140625" style="1165" customWidth="1"/>
    <col min="8229" max="8229" width="6.28515625" style="1165" customWidth="1"/>
    <col min="8230" max="8230" width="11.140625" style="1165" customWidth="1"/>
    <col min="8231" max="8231" width="14.140625" style="1165" customWidth="1"/>
    <col min="8232" max="8232" width="19.85546875" style="1165" customWidth="1"/>
    <col min="8233" max="8233" width="17" style="1165" customWidth="1"/>
    <col min="8234" max="8234" width="20.85546875" style="1165" customWidth="1"/>
    <col min="8235" max="8447" width="11.42578125" style="1165"/>
    <col min="8448" max="8448" width="13.140625" style="1165" customWidth="1"/>
    <col min="8449" max="8449" width="4" style="1165" customWidth="1"/>
    <col min="8450" max="8450" width="12.85546875" style="1165" customWidth="1"/>
    <col min="8451" max="8451" width="14.7109375" style="1165" customWidth="1"/>
    <col min="8452" max="8452" width="10" style="1165" customWidth="1"/>
    <col min="8453" max="8453" width="6.28515625" style="1165" customWidth="1"/>
    <col min="8454" max="8454" width="12.28515625" style="1165" customWidth="1"/>
    <col min="8455" max="8455" width="8.5703125" style="1165" customWidth="1"/>
    <col min="8456" max="8456" width="13.7109375" style="1165" customWidth="1"/>
    <col min="8457" max="8457" width="11.5703125" style="1165" customWidth="1"/>
    <col min="8458" max="8458" width="34.28515625" style="1165" customWidth="1"/>
    <col min="8459" max="8459" width="24.28515625" style="1165" customWidth="1"/>
    <col min="8460" max="8460" width="21.140625" style="1165" customWidth="1"/>
    <col min="8461" max="8461" width="22.140625" style="1165" customWidth="1"/>
    <col min="8462" max="8462" width="8" style="1165" customWidth="1"/>
    <col min="8463" max="8463" width="17" style="1165" customWidth="1"/>
    <col min="8464" max="8464" width="12.7109375" style="1165" customWidth="1"/>
    <col min="8465" max="8465" width="24.5703125" style="1165" customWidth="1"/>
    <col min="8466" max="8466" width="29" style="1165" customWidth="1"/>
    <col min="8467" max="8467" width="17.7109375" style="1165" customWidth="1"/>
    <col min="8468" max="8468" width="36.42578125" style="1165" customWidth="1"/>
    <col min="8469" max="8469" width="21.85546875" style="1165" customWidth="1"/>
    <col min="8470" max="8470" width="11.7109375" style="1165" customWidth="1"/>
    <col min="8471" max="8471" width="26.28515625" style="1165" customWidth="1"/>
    <col min="8472" max="8472" width="9" style="1165" customWidth="1"/>
    <col min="8473" max="8473" width="6.28515625" style="1165" customWidth="1"/>
    <col min="8474" max="8475" width="7.28515625" style="1165" customWidth="1"/>
    <col min="8476" max="8476" width="8.42578125" style="1165" customWidth="1"/>
    <col min="8477" max="8477" width="9.5703125" style="1165" customWidth="1"/>
    <col min="8478" max="8478" width="6.28515625" style="1165" customWidth="1"/>
    <col min="8479" max="8479" width="5.85546875" style="1165" customWidth="1"/>
    <col min="8480" max="8481" width="4.42578125" style="1165" customWidth="1"/>
    <col min="8482" max="8482" width="5" style="1165" customWidth="1"/>
    <col min="8483" max="8483" width="5.85546875" style="1165" customWidth="1"/>
    <col min="8484" max="8484" width="6.140625" style="1165" customWidth="1"/>
    <col min="8485" max="8485" width="6.28515625" style="1165" customWidth="1"/>
    <col min="8486" max="8486" width="11.140625" style="1165" customWidth="1"/>
    <col min="8487" max="8487" width="14.140625" style="1165" customWidth="1"/>
    <col min="8488" max="8488" width="19.85546875" style="1165" customWidth="1"/>
    <col min="8489" max="8489" width="17" style="1165" customWidth="1"/>
    <col min="8490" max="8490" width="20.85546875" style="1165" customWidth="1"/>
    <col min="8491" max="8703" width="11.42578125" style="1165"/>
    <col min="8704" max="8704" width="13.140625" style="1165" customWidth="1"/>
    <col min="8705" max="8705" width="4" style="1165" customWidth="1"/>
    <col min="8706" max="8706" width="12.85546875" style="1165" customWidth="1"/>
    <col min="8707" max="8707" width="14.7109375" style="1165" customWidth="1"/>
    <col min="8708" max="8708" width="10" style="1165" customWidth="1"/>
    <col min="8709" max="8709" width="6.28515625" style="1165" customWidth="1"/>
    <col min="8710" max="8710" width="12.28515625" style="1165" customWidth="1"/>
    <col min="8711" max="8711" width="8.5703125" style="1165" customWidth="1"/>
    <col min="8712" max="8712" width="13.7109375" style="1165" customWidth="1"/>
    <col min="8713" max="8713" width="11.5703125" style="1165" customWidth="1"/>
    <col min="8714" max="8714" width="34.28515625" style="1165" customWidth="1"/>
    <col min="8715" max="8715" width="24.28515625" style="1165" customWidth="1"/>
    <col min="8716" max="8716" width="21.140625" style="1165" customWidth="1"/>
    <col min="8717" max="8717" width="22.140625" style="1165" customWidth="1"/>
    <col min="8718" max="8718" width="8" style="1165" customWidth="1"/>
    <col min="8719" max="8719" width="17" style="1165" customWidth="1"/>
    <col min="8720" max="8720" width="12.7109375" style="1165" customWidth="1"/>
    <col min="8721" max="8721" width="24.5703125" style="1165" customWidth="1"/>
    <col min="8722" max="8722" width="29" style="1165" customWidth="1"/>
    <col min="8723" max="8723" width="17.7109375" style="1165" customWidth="1"/>
    <col min="8724" max="8724" width="36.42578125" style="1165" customWidth="1"/>
    <col min="8725" max="8725" width="21.85546875" style="1165" customWidth="1"/>
    <col min="8726" max="8726" width="11.7109375" style="1165" customWidth="1"/>
    <col min="8727" max="8727" width="26.28515625" style="1165" customWidth="1"/>
    <col min="8728" max="8728" width="9" style="1165" customWidth="1"/>
    <col min="8729" max="8729" width="6.28515625" style="1165" customWidth="1"/>
    <col min="8730" max="8731" width="7.28515625" style="1165" customWidth="1"/>
    <col min="8732" max="8732" width="8.42578125" style="1165" customWidth="1"/>
    <col min="8733" max="8733" width="9.5703125" style="1165" customWidth="1"/>
    <col min="8734" max="8734" width="6.28515625" style="1165" customWidth="1"/>
    <col min="8735" max="8735" width="5.85546875" style="1165" customWidth="1"/>
    <col min="8736" max="8737" width="4.42578125" style="1165" customWidth="1"/>
    <col min="8738" max="8738" width="5" style="1165" customWidth="1"/>
    <col min="8739" max="8739" width="5.85546875" style="1165" customWidth="1"/>
    <col min="8740" max="8740" width="6.140625" style="1165" customWidth="1"/>
    <col min="8741" max="8741" width="6.28515625" style="1165" customWidth="1"/>
    <col min="8742" max="8742" width="11.140625" style="1165" customWidth="1"/>
    <col min="8743" max="8743" width="14.140625" style="1165" customWidth="1"/>
    <col min="8744" max="8744" width="19.85546875" style="1165" customWidth="1"/>
    <col min="8745" max="8745" width="17" style="1165" customWidth="1"/>
    <col min="8746" max="8746" width="20.85546875" style="1165" customWidth="1"/>
    <col min="8747" max="8959" width="11.42578125" style="1165"/>
    <col min="8960" max="8960" width="13.140625" style="1165" customWidth="1"/>
    <col min="8961" max="8961" width="4" style="1165" customWidth="1"/>
    <col min="8962" max="8962" width="12.85546875" style="1165" customWidth="1"/>
    <col min="8963" max="8963" width="14.7109375" style="1165" customWidth="1"/>
    <col min="8964" max="8964" width="10" style="1165" customWidth="1"/>
    <col min="8965" max="8965" width="6.28515625" style="1165" customWidth="1"/>
    <col min="8966" max="8966" width="12.28515625" style="1165" customWidth="1"/>
    <col min="8967" max="8967" width="8.5703125" style="1165" customWidth="1"/>
    <col min="8968" max="8968" width="13.7109375" style="1165" customWidth="1"/>
    <col min="8969" max="8969" width="11.5703125" style="1165" customWidth="1"/>
    <col min="8970" max="8970" width="34.28515625" style="1165" customWidth="1"/>
    <col min="8971" max="8971" width="24.28515625" style="1165" customWidth="1"/>
    <col min="8972" max="8972" width="21.140625" style="1165" customWidth="1"/>
    <col min="8973" max="8973" width="22.140625" style="1165" customWidth="1"/>
    <col min="8974" max="8974" width="8" style="1165" customWidth="1"/>
    <col min="8975" max="8975" width="17" style="1165" customWidth="1"/>
    <col min="8976" max="8976" width="12.7109375" style="1165" customWidth="1"/>
    <col min="8977" max="8977" width="24.5703125" style="1165" customWidth="1"/>
    <col min="8978" max="8978" width="29" style="1165" customWidth="1"/>
    <col min="8979" max="8979" width="17.7109375" style="1165" customWidth="1"/>
    <col min="8980" max="8980" width="36.42578125" style="1165" customWidth="1"/>
    <col min="8981" max="8981" width="21.85546875" style="1165" customWidth="1"/>
    <col min="8982" max="8982" width="11.7109375" style="1165" customWidth="1"/>
    <col min="8983" max="8983" width="26.28515625" style="1165" customWidth="1"/>
    <col min="8984" max="8984" width="9" style="1165" customWidth="1"/>
    <col min="8985" max="8985" width="6.28515625" style="1165" customWidth="1"/>
    <col min="8986" max="8987" width="7.28515625" style="1165" customWidth="1"/>
    <col min="8988" max="8988" width="8.42578125" style="1165" customWidth="1"/>
    <col min="8989" max="8989" width="9.5703125" style="1165" customWidth="1"/>
    <col min="8990" max="8990" width="6.28515625" style="1165" customWidth="1"/>
    <col min="8991" max="8991" width="5.85546875" style="1165" customWidth="1"/>
    <col min="8992" max="8993" width="4.42578125" style="1165" customWidth="1"/>
    <col min="8994" max="8994" width="5" style="1165" customWidth="1"/>
    <col min="8995" max="8995" width="5.85546875" style="1165" customWidth="1"/>
    <col min="8996" max="8996" width="6.140625" style="1165" customWidth="1"/>
    <col min="8997" max="8997" width="6.28515625" style="1165" customWidth="1"/>
    <col min="8998" max="8998" width="11.140625" style="1165" customWidth="1"/>
    <col min="8999" max="8999" width="14.140625" style="1165" customWidth="1"/>
    <col min="9000" max="9000" width="19.85546875" style="1165" customWidth="1"/>
    <col min="9001" max="9001" width="17" style="1165" customWidth="1"/>
    <col min="9002" max="9002" width="20.85546875" style="1165" customWidth="1"/>
    <col min="9003" max="9215" width="11.42578125" style="1165"/>
    <col min="9216" max="9216" width="13.140625" style="1165" customWidth="1"/>
    <col min="9217" max="9217" width="4" style="1165" customWidth="1"/>
    <col min="9218" max="9218" width="12.85546875" style="1165" customWidth="1"/>
    <col min="9219" max="9219" width="14.7109375" style="1165" customWidth="1"/>
    <col min="9220" max="9220" width="10" style="1165" customWidth="1"/>
    <col min="9221" max="9221" width="6.28515625" style="1165" customWidth="1"/>
    <col min="9222" max="9222" width="12.28515625" style="1165" customWidth="1"/>
    <col min="9223" max="9223" width="8.5703125" style="1165" customWidth="1"/>
    <col min="9224" max="9224" width="13.7109375" style="1165" customWidth="1"/>
    <col min="9225" max="9225" width="11.5703125" style="1165" customWidth="1"/>
    <col min="9226" max="9226" width="34.28515625" style="1165" customWidth="1"/>
    <col min="9227" max="9227" width="24.28515625" style="1165" customWidth="1"/>
    <col min="9228" max="9228" width="21.140625" style="1165" customWidth="1"/>
    <col min="9229" max="9229" width="22.140625" style="1165" customWidth="1"/>
    <col min="9230" max="9230" width="8" style="1165" customWidth="1"/>
    <col min="9231" max="9231" width="17" style="1165" customWidth="1"/>
    <col min="9232" max="9232" width="12.7109375" style="1165" customWidth="1"/>
    <col min="9233" max="9233" width="24.5703125" style="1165" customWidth="1"/>
    <col min="9234" max="9234" width="29" style="1165" customWidth="1"/>
    <col min="9235" max="9235" width="17.7109375" style="1165" customWidth="1"/>
    <col min="9236" max="9236" width="36.42578125" style="1165" customWidth="1"/>
    <col min="9237" max="9237" width="21.85546875" style="1165" customWidth="1"/>
    <col min="9238" max="9238" width="11.7109375" style="1165" customWidth="1"/>
    <col min="9239" max="9239" width="26.28515625" style="1165" customWidth="1"/>
    <col min="9240" max="9240" width="9" style="1165" customWidth="1"/>
    <col min="9241" max="9241" width="6.28515625" style="1165" customWidth="1"/>
    <col min="9242" max="9243" width="7.28515625" style="1165" customWidth="1"/>
    <col min="9244" max="9244" width="8.42578125" style="1165" customWidth="1"/>
    <col min="9245" max="9245" width="9.5703125" style="1165" customWidth="1"/>
    <col min="9246" max="9246" width="6.28515625" style="1165" customWidth="1"/>
    <col min="9247" max="9247" width="5.85546875" style="1165" customWidth="1"/>
    <col min="9248" max="9249" width="4.42578125" style="1165" customWidth="1"/>
    <col min="9250" max="9250" width="5" style="1165" customWidth="1"/>
    <col min="9251" max="9251" width="5.85546875" style="1165" customWidth="1"/>
    <col min="9252" max="9252" width="6.140625" style="1165" customWidth="1"/>
    <col min="9253" max="9253" width="6.28515625" style="1165" customWidth="1"/>
    <col min="9254" max="9254" width="11.140625" style="1165" customWidth="1"/>
    <col min="9255" max="9255" width="14.140625" style="1165" customWidth="1"/>
    <col min="9256" max="9256" width="19.85546875" style="1165" customWidth="1"/>
    <col min="9257" max="9257" width="17" style="1165" customWidth="1"/>
    <col min="9258" max="9258" width="20.85546875" style="1165" customWidth="1"/>
    <col min="9259" max="9471" width="11.42578125" style="1165"/>
    <col min="9472" max="9472" width="13.140625" style="1165" customWidth="1"/>
    <col min="9473" max="9473" width="4" style="1165" customWidth="1"/>
    <col min="9474" max="9474" width="12.85546875" style="1165" customWidth="1"/>
    <col min="9475" max="9475" width="14.7109375" style="1165" customWidth="1"/>
    <col min="9476" max="9476" width="10" style="1165" customWidth="1"/>
    <col min="9477" max="9477" width="6.28515625" style="1165" customWidth="1"/>
    <col min="9478" max="9478" width="12.28515625" style="1165" customWidth="1"/>
    <col min="9479" max="9479" width="8.5703125" style="1165" customWidth="1"/>
    <col min="9480" max="9480" width="13.7109375" style="1165" customWidth="1"/>
    <col min="9481" max="9481" width="11.5703125" style="1165" customWidth="1"/>
    <col min="9482" max="9482" width="34.28515625" style="1165" customWidth="1"/>
    <col min="9483" max="9483" width="24.28515625" style="1165" customWidth="1"/>
    <col min="9484" max="9484" width="21.140625" style="1165" customWidth="1"/>
    <col min="9485" max="9485" width="22.140625" style="1165" customWidth="1"/>
    <col min="9486" max="9486" width="8" style="1165" customWidth="1"/>
    <col min="9487" max="9487" width="17" style="1165" customWidth="1"/>
    <col min="9488" max="9488" width="12.7109375" style="1165" customWidth="1"/>
    <col min="9489" max="9489" width="24.5703125" style="1165" customWidth="1"/>
    <col min="9490" max="9490" width="29" style="1165" customWidth="1"/>
    <col min="9491" max="9491" width="17.7109375" style="1165" customWidth="1"/>
    <col min="9492" max="9492" width="36.42578125" style="1165" customWidth="1"/>
    <col min="9493" max="9493" width="21.85546875" style="1165" customWidth="1"/>
    <col min="9494" max="9494" width="11.7109375" style="1165" customWidth="1"/>
    <col min="9495" max="9495" width="26.28515625" style="1165" customWidth="1"/>
    <col min="9496" max="9496" width="9" style="1165" customWidth="1"/>
    <col min="9497" max="9497" width="6.28515625" style="1165" customWidth="1"/>
    <col min="9498" max="9499" width="7.28515625" style="1165" customWidth="1"/>
    <col min="9500" max="9500" width="8.42578125" style="1165" customWidth="1"/>
    <col min="9501" max="9501" width="9.5703125" style="1165" customWidth="1"/>
    <col min="9502" max="9502" width="6.28515625" style="1165" customWidth="1"/>
    <col min="9503" max="9503" width="5.85546875" style="1165" customWidth="1"/>
    <col min="9504" max="9505" width="4.42578125" style="1165" customWidth="1"/>
    <col min="9506" max="9506" width="5" style="1165" customWidth="1"/>
    <col min="9507" max="9507" width="5.85546875" style="1165" customWidth="1"/>
    <col min="9508" max="9508" width="6.140625" style="1165" customWidth="1"/>
    <col min="9509" max="9509" width="6.28515625" style="1165" customWidth="1"/>
    <col min="9510" max="9510" width="11.140625" style="1165" customWidth="1"/>
    <col min="9511" max="9511" width="14.140625" style="1165" customWidth="1"/>
    <col min="9512" max="9512" width="19.85546875" style="1165" customWidth="1"/>
    <col min="9513" max="9513" width="17" style="1165" customWidth="1"/>
    <col min="9514" max="9514" width="20.85546875" style="1165" customWidth="1"/>
    <col min="9515" max="9727" width="11.42578125" style="1165"/>
    <col min="9728" max="9728" width="13.140625" style="1165" customWidth="1"/>
    <col min="9729" max="9729" width="4" style="1165" customWidth="1"/>
    <col min="9730" max="9730" width="12.85546875" style="1165" customWidth="1"/>
    <col min="9731" max="9731" width="14.7109375" style="1165" customWidth="1"/>
    <col min="9732" max="9732" width="10" style="1165" customWidth="1"/>
    <col min="9733" max="9733" width="6.28515625" style="1165" customWidth="1"/>
    <col min="9734" max="9734" width="12.28515625" style="1165" customWidth="1"/>
    <col min="9735" max="9735" width="8.5703125" style="1165" customWidth="1"/>
    <col min="9736" max="9736" width="13.7109375" style="1165" customWidth="1"/>
    <col min="9737" max="9737" width="11.5703125" style="1165" customWidth="1"/>
    <col min="9738" max="9738" width="34.28515625" style="1165" customWidth="1"/>
    <col min="9739" max="9739" width="24.28515625" style="1165" customWidth="1"/>
    <col min="9740" max="9740" width="21.140625" style="1165" customWidth="1"/>
    <col min="9741" max="9741" width="22.140625" style="1165" customWidth="1"/>
    <col min="9742" max="9742" width="8" style="1165" customWidth="1"/>
    <col min="9743" max="9743" width="17" style="1165" customWidth="1"/>
    <col min="9744" max="9744" width="12.7109375" style="1165" customWidth="1"/>
    <col min="9745" max="9745" width="24.5703125" style="1165" customWidth="1"/>
    <col min="9746" max="9746" width="29" style="1165" customWidth="1"/>
    <col min="9747" max="9747" width="17.7109375" style="1165" customWidth="1"/>
    <col min="9748" max="9748" width="36.42578125" style="1165" customWidth="1"/>
    <col min="9749" max="9749" width="21.85546875" style="1165" customWidth="1"/>
    <col min="9750" max="9750" width="11.7109375" style="1165" customWidth="1"/>
    <col min="9751" max="9751" width="26.28515625" style="1165" customWidth="1"/>
    <col min="9752" max="9752" width="9" style="1165" customWidth="1"/>
    <col min="9753" max="9753" width="6.28515625" style="1165" customWidth="1"/>
    <col min="9754" max="9755" width="7.28515625" style="1165" customWidth="1"/>
    <col min="9756" max="9756" width="8.42578125" style="1165" customWidth="1"/>
    <col min="9757" max="9757" width="9.5703125" style="1165" customWidth="1"/>
    <col min="9758" max="9758" width="6.28515625" style="1165" customWidth="1"/>
    <col min="9759" max="9759" width="5.85546875" style="1165" customWidth="1"/>
    <col min="9760" max="9761" width="4.42578125" style="1165" customWidth="1"/>
    <col min="9762" max="9762" width="5" style="1165" customWidth="1"/>
    <col min="9763" max="9763" width="5.85546875" style="1165" customWidth="1"/>
    <col min="9764" max="9764" width="6.140625" style="1165" customWidth="1"/>
    <col min="9765" max="9765" width="6.28515625" style="1165" customWidth="1"/>
    <col min="9766" max="9766" width="11.140625" style="1165" customWidth="1"/>
    <col min="9767" max="9767" width="14.140625" style="1165" customWidth="1"/>
    <col min="9768" max="9768" width="19.85546875" style="1165" customWidth="1"/>
    <col min="9769" max="9769" width="17" style="1165" customWidth="1"/>
    <col min="9770" max="9770" width="20.85546875" style="1165" customWidth="1"/>
    <col min="9771" max="9983" width="11.42578125" style="1165"/>
    <col min="9984" max="9984" width="13.140625" style="1165" customWidth="1"/>
    <col min="9985" max="9985" width="4" style="1165" customWidth="1"/>
    <col min="9986" max="9986" width="12.85546875" style="1165" customWidth="1"/>
    <col min="9987" max="9987" width="14.7109375" style="1165" customWidth="1"/>
    <col min="9988" max="9988" width="10" style="1165" customWidth="1"/>
    <col min="9989" max="9989" width="6.28515625" style="1165" customWidth="1"/>
    <col min="9990" max="9990" width="12.28515625" style="1165" customWidth="1"/>
    <col min="9991" max="9991" width="8.5703125" style="1165" customWidth="1"/>
    <col min="9992" max="9992" width="13.7109375" style="1165" customWidth="1"/>
    <col min="9993" max="9993" width="11.5703125" style="1165" customWidth="1"/>
    <col min="9994" max="9994" width="34.28515625" style="1165" customWidth="1"/>
    <col min="9995" max="9995" width="24.28515625" style="1165" customWidth="1"/>
    <col min="9996" max="9996" width="21.140625" style="1165" customWidth="1"/>
    <col min="9997" max="9997" width="22.140625" style="1165" customWidth="1"/>
    <col min="9998" max="9998" width="8" style="1165" customWidth="1"/>
    <col min="9999" max="9999" width="17" style="1165" customWidth="1"/>
    <col min="10000" max="10000" width="12.7109375" style="1165" customWidth="1"/>
    <col min="10001" max="10001" width="24.5703125" style="1165" customWidth="1"/>
    <col min="10002" max="10002" width="29" style="1165" customWidth="1"/>
    <col min="10003" max="10003" width="17.7109375" style="1165" customWidth="1"/>
    <col min="10004" max="10004" width="36.42578125" style="1165" customWidth="1"/>
    <col min="10005" max="10005" width="21.85546875" style="1165" customWidth="1"/>
    <col min="10006" max="10006" width="11.7109375" style="1165" customWidth="1"/>
    <col min="10007" max="10007" width="26.28515625" style="1165" customWidth="1"/>
    <col min="10008" max="10008" width="9" style="1165" customWidth="1"/>
    <col min="10009" max="10009" width="6.28515625" style="1165" customWidth="1"/>
    <col min="10010" max="10011" width="7.28515625" style="1165" customWidth="1"/>
    <col min="10012" max="10012" width="8.42578125" style="1165" customWidth="1"/>
    <col min="10013" max="10013" width="9.5703125" style="1165" customWidth="1"/>
    <col min="10014" max="10014" width="6.28515625" style="1165" customWidth="1"/>
    <col min="10015" max="10015" width="5.85546875" style="1165" customWidth="1"/>
    <col min="10016" max="10017" width="4.42578125" style="1165" customWidth="1"/>
    <col min="10018" max="10018" width="5" style="1165" customWidth="1"/>
    <col min="10019" max="10019" width="5.85546875" style="1165" customWidth="1"/>
    <col min="10020" max="10020" width="6.140625" style="1165" customWidth="1"/>
    <col min="10021" max="10021" width="6.28515625" style="1165" customWidth="1"/>
    <col min="10022" max="10022" width="11.140625" style="1165" customWidth="1"/>
    <col min="10023" max="10023" width="14.140625" style="1165" customWidth="1"/>
    <col min="10024" max="10024" width="19.85546875" style="1165" customWidth="1"/>
    <col min="10025" max="10025" width="17" style="1165" customWidth="1"/>
    <col min="10026" max="10026" width="20.85546875" style="1165" customWidth="1"/>
    <col min="10027" max="10239" width="11.42578125" style="1165"/>
    <col min="10240" max="10240" width="13.140625" style="1165" customWidth="1"/>
    <col min="10241" max="10241" width="4" style="1165" customWidth="1"/>
    <col min="10242" max="10242" width="12.85546875" style="1165" customWidth="1"/>
    <col min="10243" max="10243" width="14.7109375" style="1165" customWidth="1"/>
    <col min="10244" max="10244" width="10" style="1165" customWidth="1"/>
    <col min="10245" max="10245" width="6.28515625" style="1165" customWidth="1"/>
    <col min="10246" max="10246" width="12.28515625" style="1165" customWidth="1"/>
    <col min="10247" max="10247" width="8.5703125" style="1165" customWidth="1"/>
    <col min="10248" max="10248" width="13.7109375" style="1165" customWidth="1"/>
    <col min="10249" max="10249" width="11.5703125" style="1165" customWidth="1"/>
    <col min="10250" max="10250" width="34.28515625" style="1165" customWidth="1"/>
    <col min="10251" max="10251" width="24.28515625" style="1165" customWidth="1"/>
    <col min="10252" max="10252" width="21.140625" style="1165" customWidth="1"/>
    <col min="10253" max="10253" width="22.140625" style="1165" customWidth="1"/>
    <col min="10254" max="10254" width="8" style="1165" customWidth="1"/>
    <col min="10255" max="10255" width="17" style="1165" customWidth="1"/>
    <col min="10256" max="10256" width="12.7109375" style="1165" customWidth="1"/>
    <col min="10257" max="10257" width="24.5703125" style="1165" customWidth="1"/>
    <col min="10258" max="10258" width="29" style="1165" customWidth="1"/>
    <col min="10259" max="10259" width="17.7109375" style="1165" customWidth="1"/>
    <col min="10260" max="10260" width="36.42578125" style="1165" customWidth="1"/>
    <col min="10261" max="10261" width="21.85546875" style="1165" customWidth="1"/>
    <col min="10262" max="10262" width="11.7109375" style="1165" customWidth="1"/>
    <col min="10263" max="10263" width="26.28515625" style="1165" customWidth="1"/>
    <col min="10264" max="10264" width="9" style="1165" customWidth="1"/>
    <col min="10265" max="10265" width="6.28515625" style="1165" customWidth="1"/>
    <col min="10266" max="10267" width="7.28515625" style="1165" customWidth="1"/>
    <col min="10268" max="10268" width="8.42578125" style="1165" customWidth="1"/>
    <col min="10269" max="10269" width="9.5703125" style="1165" customWidth="1"/>
    <col min="10270" max="10270" width="6.28515625" style="1165" customWidth="1"/>
    <col min="10271" max="10271" width="5.85546875" style="1165" customWidth="1"/>
    <col min="10272" max="10273" width="4.42578125" style="1165" customWidth="1"/>
    <col min="10274" max="10274" width="5" style="1165" customWidth="1"/>
    <col min="10275" max="10275" width="5.85546875" style="1165" customWidth="1"/>
    <col min="10276" max="10276" width="6.140625" style="1165" customWidth="1"/>
    <col min="10277" max="10277" width="6.28515625" style="1165" customWidth="1"/>
    <col min="10278" max="10278" width="11.140625" style="1165" customWidth="1"/>
    <col min="10279" max="10279" width="14.140625" style="1165" customWidth="1"/>
    <col min="10280" max="10280" width="19.85546875" style="1165" customWidth="1"/>
    <col min="10281" max="10281" width="17" style="1165" customWidth="1"/>
    <col min="10282" max="10282" width="20.85546875" style="1165" customWidth="1"/>
    <col min="10283" max="10495" width="11.42578125" style="1165"/>
    <col min="10496" max="10496" width="13.140625" style="1165" customWidth="1"/>
    <col min="10497" max="10497" width="4" style="1165" customWidth="1"/>
    <col min="10498" max="10498" width="12.85546875" style="1165" customWidth="1"/>
    <col min="10499" max="10499" width="14.7109375" style="1165" customWidth="1"/>
    <col min="10500" max="10500" width="10" style="1165" customWidth="1"/>
    <col min="10501" max="10501" width="6.28515625" style="1165" customWidth="1"/>
    <col min="10502" max="10502" width="12.28515625" style="1165" customWidth="1"/>
    <col min="10503" max="10503" width="8.5703125" style="1165" customWidth="1"/>
    <col min="10504" max="10504" width="13.7109375" style="1165" customWidth="1"/>
    <col min="10505" max="10505" width="11.5703125" style="1165" customWidth="1"/>
    <col min="10506" max="10506" width="34.28515625" style="1165" customWidth="1"/>
    <col min="10507" max="10507" width="24.28515625" style="1165" customWidth="1"/>
    <col min="10508" max="10508" width="21.140625" style="1165" customWidth="1"/>
    <col min="10509" max="10509" width="22.140625" style="1165" customWidth="1"/>
    <col min="10510" max="10510" width="8" style="1165" customWidth="1"/>
    <col min="10511" max="10511" width="17" style="1165" customWidth="1"/>
    <col min="10512" max="10512" width="12.7109375" style="1165" customWidth="1"/>
    <col min="10513" max="10513" width="24.5703125" style="1165" customWidth="1"/>
    <col min="10514" max="10514" width="29" style="1165" customWidth="1"/>
    <col min="10515" max="10515" width="17.7109375" style="1165" customWidth="1"/>
    <col min="10516" max="10516" width="36.42578125" style="1165" customWidth="1"/>
    <col min="10517" max="10517" width="21.85546875" style="1165" customWidth="1"/>
    <col min="10518" max="10518" width="11.7109375" style="1165" customWidth="1"/>
    <col min="10519" max="10519" width="26.28515625" style="1165" customWidth="1"/>
    <col min="10520" max="10520" width="9" style="1165" customWidth="1"/>
    <col min="10521" max="10521" width="6.28515625" style="1165" customWidth="1"/>
    <col min="10522" max="10523" width="7.28515625" style="1165" customWidth="1"/>
    <col min="10524" max="10524" width="8.42578125" style="1165" customWidth="1"/>
    <col min="10525" max="10525" width="9.5703125" style="1165" customWidth="1"/>
    <col min="10526" max="10526" width="6.28515625" style="1165" customWidth="1"/>
    <col min="10527" max="10527" width="5.85546875" style="1165" customWidth="1"/>
    <col min="10528" max="10529" width="4.42578125" style="1165" customWidth="1"/>
    <col min="10530" max="10530" width="5" style="1165" customWidth="1"/>
    <col min="10531" max="10531" width="5.85546875" style="1165" customWidth="1"/>
    <col min="10532" max="10532" width="6.140625" style="1165" customWidth="1"/>
    <col min="10533" max="10533" width="6.28515625" style="1165" customWidth="1"/>
    <col min="10534" max="10534" width="11.140625" style="1165" customWidth="1"/>
    <col min="10535" max="10535" width="14.140625" style="1165" customWidth="1"/>
    <col min="10536" max="10536" width="19.85546875" style="1165" customWidth="1"/>
    <col min="10537" max="10537" width="17" style="1165" customWidth="1"/>
    <col min="10538" max="10538" width="20.85546875" style="1165" customWidth="1"/>
    <col min="10539" max="10751" width="11.42578125" style="1165"/>
    <col min="10752" max="10752" width="13.140625" style="1165" customWidth="1"/>
    <col min="10753" max="10753" width="4" style="1165" customWidth="1"/>
    <col min="10754" max="10754" width="12.85546875" style="1165" customWidth="1"/>
    <col min="10755" max="10755" width="14.7109375" style="1165" customWidth="1"/>
    <col min="10756" max="10756" width="10" style="1165" customWidth="1"/>
    <col min="10757" max="10757" width="6.28515625" style="1165" customWidth="1"/>
    <col min="10758" max="10758" width="12.28515625" style="1165" customWidth="1"/>
    <col min="10759" max="10759" width="8.5703125" style="1165" customWidth="1"/>
    <col min="10760" max="10760" width="13.7109375" style="1165" customWidth="1"/>
    <col min="10761" max="10761" width="11.5703125" style="1165" customWidth="1"/>
    <col min="10762" max="10762" width="34.28515625" style="1165" customWidth="1"/>
    <col min="10763" max="10763" width="24.28515625" style="1165" customWidth="1"/>
    <col min="10764" max="10764" width="21.140625" style="1165" customWidth="1"/>
    <col min="10765" max="10765" width="22.140625" style="1165" customWidth="1"/>
    <col min="10766" max="10766" width="8" style="1165" customWidth="1"/>
    <col min="10767" max="10767" width="17" style="1165" customWidth="1"/>
    <col min="10768" max="10768" width="12.7109375" style="1165" customWidth="1"/>
    <col min="10769" max="10769" width="24.5703125" style="1165" customWidth="1"/>
    <col min="10770" max="10770" width="29" style="1165" customWidth="1"/>
    <col min="10771" max="10771" width="17.7109375" style="1165" customWidth="1"/>
    <col min="10772" max="10772" width="36.42578125" style="1165" customWidth="1"/>
    <col min="10773" max="10773" width="21.85546875" style="1165" customWidth="1"/>
    <col min="10774" max="10774" width="11.7109375" style="1165" customWidth="1"/>
    <col min="10775" max="10775" width="26.28515625" style="1165" customWidth="1"/>
    <col min="10776" max="10776" width="9" style="1165" customWidth="1"/>
    <col min="10777" max="10777" width="6.28515625" style="1165" customWidth="1"/>
    <col min="10778" max="10779" width="7.28515625" style="1165" customWidth="1"/>
    <col min="10780" max="10780" width="8.42578125" style="1165" customWidth="1"/>
    <col min="10781" max="10781" width="9.5703125" style="1165" customWidth="1"/>
    <col min="10782" max="10782" width="6.28515625" style="1165" customWidth="1"/>
    <col min="10783" max="10783" width="5.85546875" style="1165" customWidth="1"/>
    <col min="10784" max="10785" width="4.42578125" style="1165" customWidth="1"/>
    <col min="10786" max="10786" width="5" style="1165" customWidth="1"/>
    <col min="10787" max="10787" width="5.85546875" style="1165" customWidth="1"/>
    <col min="10788" max="10788" width="6.140625" style="1165" customWidth="1"/>
    <col min="10789" max="10789" width="6.28515625" style="1165" customWidth="1"/>
    <col min="10790" max="10790" width="11.140625" style="1165" customWidth="1"/>
    <col min="10791" max="10791" width="14.140625" style="1165" customWidth="1"/>
    <col min="10792" max="10792" width="19.85546875" style="1165" customWidth="1"/>
    <col min="10793" max="10793" width="17" style="1165" customWidth="1"/>
    <col min="10794" max="10794" width="20.85546875" style="1165" customWidth="1"/>
    <col min="10795" max="11007" width="11.42578125" style="1165"/>
    <col min="11008" max="11008" width="13.140625" style="1165" customWidth="1"/>
    <col min="11009" max="11009" width="4" style="1165" customWidth="1"/>
    <col min="11010" max="11010" width="12.85546875" style="1165" customWidth="1"/>
    <col min="11011" max="11011" width="14.7109375" style="1165" customWidth="1"/>
    <col min="11012" max="11012" width="10" style="1165" customWidth="1"/>
    <col min="11013" max="11013" width="6.28515625" style="1165" customWidth="1"/>
    <col min="11014" max="11014" width="12.28515625" style="1165" customWidth="1"/>
    <col min="11015" max="11015" width="8.5703125" style="1165" customWidth="1"/>
    <col min="11016" max="11016" width="13.7109375" style="1165" customWidth="1"/>
    <col min="11017" max="11017" width="11.5703125" style="1165" customWidth="1"/>
    <col min="11018" max="11018" width="34.28515625" style="1165" customWidth="1"/>
    <col min="11019" max="11019" width="24.28515625" style="1165" customWidth="1"/>
    <col min="11020" max="11020" width="21.140625" style="1165" customWidth="1"/>
    <col min="11021" max="11021" width="22.140625" style="1165" customWidth="1"/>
    <col min="11022" max="11022" width="8" style="1165" customWidth="1"/>
    <col min="11023" max="11023" width="17" style="1165" customWidth="1"/>
    <col min="11024" max="11024" width="12.7109375" style="1165" customWidth="1"/>
    <col min="11025" max="11025" width="24.5703125" style="1165" customWidth="1"/>
    <col min="11026" max="11026" width="29" style="1165" customWidth="1"/>
    <col min="11027" max="11027" width="17.7109375" style="1165" customWidth="1"/>
    <col min="11028" max="11028" width="36.42578125" style="1165" customWidth="1"/>
    <col min="11029" max="11029" width="21.85546875" style="1165" customWidth="1"/>
    <col min="11030" max="11030" width="11.7109375" style="1165" customWidth="1"/>
    <col min="11031" max="11031" width="26.28515625" style="1165" customWidth="1"/>
    <col min="11032" max="11032" width="9" style="1165" customWidth="1"/>
    <col min="11033" max="11033" width="6.28515625" style="1165" customWidth="1"/>
    <col min="11034" max="11035" width="7.28515625" style="1165" customWidth="1"/>
    <col min="11036" max="11036" width="8.42578125" style="1165" customWidth="1"/>
    <col min="11037" max="11037" width="9.5703125" style="1165" customWidth="1"/>
    <col min="11038" max="11038" width="6.28515625" style="1165" customWidth="1"/>
    <col min="11039" max="11039" width="5.85546875" style="1165" customWidth="1"/>
    <col min="11040" max="11041" width="4.42578125" style="1165" customWidth="1"/>
    <col min="11042" max="11042" width="5" style="1165" customWidth="1"/>
    <col min="11043" max="11043" width="5.85546875" style="1165" customWidth="1"/>
    <col min="11044" max="11044" width="6.140625" style="1165" customWidth="1"/>
    <col min="11045" max="11045" width="6.28515625" style="1165" customWidth="1"/>
    <col min="11046" max="11046" width="11.140625" style="1165" customWidth="1"/>
    <col min="11047" max="11047" width="14.140625" style="1165" customWidth="1"/>
    <col min="11048" max="11048" width="19.85546875" style="1165" customWidth="1"/>
    <col min="11049" max="11049" width="17" style="1165" customWidth="1"/>
    <col min="11050" max="11050" width="20.85546875" style="1165" customWidth="1"/>
    <col min="11051" max="11263" width="11.42578125" style="1165"/>
    <col min="11264" max="11264" width="13.140625" style="1165" customWidth="1"/>
    <col min="11265" max="11265" width="4" style="1165" customWidth="1"/>
    <col min="11266" max="11266" width="12.85546875" style="1165" customWidth="1"/>
    <col min="11267" max="11267" width="14.7109375" style="1165" customWidth="1"/>
    <col min="11268" max="11268" width="10" style="1165" customWidth="1"/>
    <col min="11269" max="11269" width="6.28515625" style="1165" customWidth="1"/>
    <col min="11270" max="11270" width="12.28515625" style="1165" customWidth="1"/>
    <col min="11271" max="11271" width="8.5703125" style="1165" customWidth="1"/>
    <col min="11272" max="11272" width="13.7109375" style="1165" customWidth="1"/>
    <col min="11273" max="11273" width="11.5703125" style="1165" customWidth="1"/>
    <col min="11274" max="11274" width="34.28515625" style="1165" customWidth="1"/>
    <col min="11275" max="11275" width="24.28515625" style="1165" customWidth="1"/>
    <col min="11276" max="11276" width="21.140625" style="1165" customWidth="1"/>
    <col min="11277" max="11277" width="22.140625" style="1165" customWidth="1"/>
    <col min="11278" max="11278" width="8" style="1165" customWidth="1"/>
    <col min="11279" max="11279" width="17" style="1165" customWidth="1"/>
    <col min="11280" max="11280" width="12.7109375" style="1165" customWidth="1"/>
    <col min="11281" max="11281" width="24.5703125" style="1165" customWidth="1"/>
    <col min="11282" max="11282" width="29" style="1165" customWidth="1"/>
    <col min="11283" max="11283" width="17.7109375" style="1165" customWidth="1"/>
    <col min="11284" max="11284" width="36.42578125" style="1165" customWidth="1"/>
    <col min="11285" max="11285" width="21.85546875" style="1165" customWidth="1"/>
    <col min="11286" max="11286" width="11.7109375" style="1165" customWidth="1"/>
    <col min="11287" max="11287" width="26.28515625" style="1165" customWidth="1"/>
    <col min="11288" max="11288" width="9" style="1165" customWidth="1"/>
    <col min="11289" max="11289" width="6.28515625" style="1165" customWidth="1"/>
    <col min="11290" max="11291" width="7.28515625" style="1165" customWidth="1"/>
    <col min="11292" max="11292" width="8.42578125" style="1165" customWidth="1"/>
    <col min="11293" max="11293" width="9.5703125" style="1165" customWidth="1"/>
    <col min="11294" max="11294" width="6.28515625" style="1165" customWidth="1"/>
    <col min="11295" max="11295" width="5.85546875" style="1165" customWidth="1"/>
    <col min="11296" max="11297" width="4.42578125" style="1165" customWidth="1"/>
    <col min="11298" max="11298" width="5" style="1165" customWidth="1"/>
    <col min="11299" max="11299" width="5.85546875" style="1165" customWidth="1"/>
    <col min="11300" max="11300" width="6.140625" style="1165" customWidth="1"/>
    <col min="11301" max="11301" width="6.28515625" style="1165" customWidth="1"/>
    <col min="11302" max="11302" width="11.140625" style="1165" customWidth="1"/>
    <col min="11303" max="11303" width="14.140625" style="1165" customWidth="1"/>
    <col min="11304" max="11304" width="19.85546875" style="1165" customWidth="1"/>
    <col min="11305" max="11305" width="17" style="1165" customWidth="1"/>
    <col min="11306" max="11306" width="20.85546875" style="1165" customWidth="1"/>
    <col min="11307" max="11519" width="11.42578125" style="1165"/>
    <col min="11520" max="11520" width="13.140625" style="1165" customWidth="1"/>
    <col min="11521" max="11521" width="4" style="1165" customWidth="1"/>
    <col min="11522" max="11522" width="12.85546875" style="1165" customWidth="1"/>
    <col min="11523" max="11523" width="14.7109375" style="1165" customWidth="1"/>
    <col min="11524" max="11524" width="10" style="1165" customWidth="1"/>
    <col min="11525" max="11525" width="6.28515625" style="1165" customWidth="1"/>
    <col min="11526" max="11526" width="12.28515625" style="1165" customWidth="1"/>
    <col min="11527" max="11527" width="8.5703125" style="1165" customWidth="1"/>
    <col min="11528" max="11528" width="13.7109375" style="1165" customWidth="1"/>
    <col min="11529" max="11529" width="11.5703125" style="1165" customWidth="1"/>
    <col min="11530" max="11530" width="34.28515625" style="1165" customWidth="1"/>
    <col min="11531" max="11531" width="24.28515625" style="1165" customWidth="1"/>
    <col min="11532" max="11532" width="21.140625" style="1165" customWidth="1"/>
    <col min="11533" max="11533" width="22.140625" style="1165" customWidth="1"/>
    <col min="11534" max="11534" width="8" style="1165" customWidth="1"/>
    <col min="11535" max="11535" width="17" style="1165" customWidth="1"/>
    <col min="11536" max="11536" width="12.7109375" style="1165" customWidth="1"/>
    <col min="11537" max="11537" width="24.5703125" style="1165" customWidth="1"/>
    <col min="11538" max="11538" width="29" style="1165" customWidth="1"/>
    <col min="11539" max="11539" width="17.7109375" style="1165" customWidth="1"/>
    <col min="11540" max="11540" width="36.42578125" style="1165" customWidth="1"/>
    <col min="11541" max="11541" width="21.85546875" style="1165" customWidth="1"/>
    <col min="11542" max="11542" width="11.7109375" style="1165" customWidth="1"/>
    <col min="11543" max="11543" width="26.28515625" style="1165" customWidth="1"/>
    <col min="11544" max="11544" width="9" style="1165" customWidth="1"/>
    <col min="11545" max="11545" width="6.28515625" style="1165" customWidth="1"/>
    <col min="11546" max="11547" width="7.28515625" style="1165" customWidth="1"/>
    <col min="11548" max="11548" width="8.42578125" style="1165" customWidth="1"/>
    <col min="11549" max="11549" width="9.5703125" style="1165" customWidth="1"/>
    <col min="11550" max="11550" width="6.28515625" style="1165" customWidth="1"/>
    <col min="11551" max="11551" width="5.85546875" style="1165" customWidth="1"/>
    <col min="11552" max="11553" width="4.42578125" style="1165" customWidth="1"/>
    <col min="11554" max="11554" width="5" style="1165" customWidth="1"/>
    <col min="11555" max="11555" width="5.85546875" style="1165" customWidth="1"/>
    <col min="11556" max="11556" width="6.140625" style="1165" customWidth="1"/>
    <col min="11557" max="11557" width="6.28515625" style="1165" customWidth="1"/>
    <col min="11558" max="11558" width="11.140625" style="1165" customWidth="1"/>
    <col min="11559" max="11559" width="14.140625" style="1165" customWidth="1"/>
    <col min="11560" max="11560" width="19.85546875" style="1165" customWidth="1"/>
    <col min="11561" max="11561" width="17" style="1165" customWidth="1"/>
    <col min="11562" max="11562" width="20.85546875" style="1165" customWidth="1"/>
    <col min="11563" max="11775" width="11.42578125" style="1165"/>
    <col min="11776" max="11776" width="13.140625" style="1165" customWidth="1"/>
    <col min="11777" max="11777" width="4" style="1165" customWidth="1"/>
    <col min="11778" max="11778" width="12.85546875" style="1165" customWidth="1"/>
    <col min="11779" max="11779" width="14.7109375" style="1165" customWidth="1"/>
    <col min="11780" max="11780" width="10" style="1165" customWidth="1"/>
    <col min="11781" max="11781" width="6.28515625" style="1165" customWidth="1"/>
    <col min="11782" max="11782" width="12.28515625" style="1165" customWidth="1"/>
    <col min="11783" max="11783" width="8.5703125" style="1165" customWidth="1"/>
    <col min="11784" max="11784" width="13.7109375" style="1165" customWidth="1"/>
    <col min="11785" max="11785" width="11.5703125" style="1165" customWidth="1"/>
    <col min="11786" max="11786" width="34.28515625" style="1165" customWidth="1"/>
    <col min="11787" max="11787" width="24.28515625" style="1165" customWidth="1"/>
    <col min="11788" max="11788" width="21.140625" style="1165" customWidth="1"/>
    <col min="11789" max="11789" width="22.140625" style="1165" customWidth="1"/>
    <col min="11790" max="11790" width="8" style="1165" customWidth="1"/>
    <col min="11791" max="11791" width="17" style="1165" customWidth="1"/>
    <col min="11792" max="11792" width="12.7109375" style="1165" customWidth="1"/>
    <col min="11793" max="11793" width="24.5703125" style="1165" customWidth="1"/>
    <col min="11794" max="11794" width="29" style="1165" customWidth="1"/>
    <col min="11795" max="11795" width="17.7109375" style="1165" customWidth="1"/>
    <col min="11796" max="11796" width="36.42578125" style="1165" customWidth="1"/>
    <col min="11797" max="11797" width="21.85546875" style="1165" customWidth="1"/>
    <col min="11798" max="11798" width="11.7109375" style="1165" customWidth="1"/>
    <col min="11799" max="11799" width="26.28515625" style="1165" customWidth="1"/>
    <col min="11800" max="11800" width="9" style="1165" customWidth="1"/>
    <col min="11801" max="11801" width="6.28515625" style="1165" customWidth="1"/>
    <col min="11802" max="11803" width="7.28515625" style="1165" customWidth="1"/>
    <col min="11804" max="11804" width="8.42578125" style="1165" customWidth="1"/>
    <col min="11805" max="11805" width="9.5703125" style="1165" customWidth="1"/>
    <col min="11806" max="11806" width="6.28515625" style="1165" customWidth="1"/>
    <col min="11807" max="11807" width="5.85546875" style="1165" customWidth="1"/>
    <col min="11808" max="11809" width="4.42578125" style="1165" customWidth="1"/>
    <col min="11810" max="11810" width="5" style="1165" customWidth="1"/>
    <col min="11811" max="11811" width="5.85546875" style="1165" customWidth="1"/>
    <col min="11812" max="11812" width="6.140625" style="1165" customWidth="1"/>
    <col min="11813" max="11813" width="6.28515625" style="1165" customWidth="1"/>
    <col min="11814" max="11814" width="11.140625" style="1165" customWidth="1"/>
    <col min="11815" max="11815" width="14.140625" style="1165" customWidth="1"/>
    <col min="11816" max="11816" width="19.85546875" style="1165" customWidth="1"/>
    <col min="11817" max="11817" width="17" style="1165" customWidth="1"/>
    <col min="11818" max="11818" width="20.85546875" style="1165" customWidth="1"/>
    <col min="11819" max="12031" width="11.42578125" style="1165"/>
    <col min="12032" max="12032" width="13.140625" style="1165" customWidth="1"/>
    <col min="12033" max="12033" width="4" style="1165" customWidth="1"/>
    <col min="12034" max="12034" width="12.85546875" style="1165" customWidth="1"/>
    <col min="12035" max="12035" width="14.7109375" style="1165" customWidth="1"/>
    <col min="12036" max="12036" width="10" style="1165" customWidth="1"/>
    <col min="12037" max="12037" width="6.28515625" style="1165" customWidth="1"/>
    <col min="12038" max="12038" width="12.28515625" style="1165" customWidth="1"/>
    <col min="12039" max="12039" width="8.5703125" style="1165" customWidth="1"/>
    <col min="12040" max="12040" width="13.7109375" style="1165" customWidth="1"/>
    <col min="12041" max="12041" width="11.5703125" style="1165" customWidth="1"/>
    <col min="12042" max="12042" width="34.28515625" style="1165" customWidth="1"/>
    <col min="12043" max="12043" width="24.28515625" style="1165" customWidth="1"/>
    <col min="12044" max="12044" width="21.140625" style="1165" customWidth="1"/>
    <col min="12045" max="12045" width="22.140625" style="1165" customWidth="1"/>
    <col min="12046" max="12046" width="8" style="1165" customWidth="1"/>
    <col min="12047" max="12047" width="17" style="1165" customWidth="1"/>
    <col min="12048" max="12048" width="12.7109375" style="1165" customWidth="1"/>
    <col min="12049" max="12049" width="24.5703125" style="1165" customWidth="1"/>
    <col min="12050" max="12050" width="29" style="1165" customWidth="1"/>
    <col min="12051" max="12051" width="17.7109375" style="1165" customWidth="1"/>
    <col min="12052" max="12052" width="36.42578125" style="1165" customWidth="1"/>
    <col min="12053" max="12053" width="21.85546875" style="1165" customWidth="1"/>
    <col min="12054" max="12054" width="11.7109375" style="1165" customWidth="1"/>
    <col min="12055" max="12055" width="26.28515625" style="1165" customWidth="1"/>
    <col min="12056" max="12056" width="9" style="1165" customWidth="1"/>
    <col min="12057" max="12057" width="6.28515625" style="1165" customWidth="1"/>
    <col min="12058" max="12059" width="7.28515625" style="1165" customWidth="1"/>
    <col min="12060" max="12060" width="8.42578125" style="1165" customWidth="1"/>
    <col min="12061" max="12061" width="9.5703125" style="1165" customWidth="1"/>
    <col min="12062" max="12062" width="6.28515625" style="1165" customWidth="1"/>
    <col min="12063" max="12063" width="5.85546875" style="1165" customWidth="1"/>
    <col min="12064" max="12065" width="4.42578125" style="1165" customWidth="1"/>
    <col min="12066" max="12066" width="5" style="1165" customWidth="1"/>
    <col min="12067" max="12067" width="5.85546875" style="1165" customWidth="1"/>
    <col min="12068" max="12068" width="6.140625" style="1165" customWidth="1"/>
    <col min="12069" max="12069" width="6.28515625" style="1165" customWidth="1"/>
    <col min="12070" max="12070" width="11.140625" style="1165" customWidth="1"/>
    <col min="12071" max="12071" width="14.140625" style="1165" customWidth="1"/>
    <col min="12072" max="12072" width="19.85546875" style="1165" customWidth="1"/>
    <col min="12073" max="12073" width="17" style="1165" customWidth="1"/>
    <col min="12074" max="12074" width="20.85546875" style="1165" customWidth="1"/>
    <col min="12075" max="12287" width="11.42578125" style="1165"/>
    <col min="12288" max="12288" width="13.140625" style="1165" customWidth="1"/>
    <col min="12289" max="12289" width="4" style="1165" customWidth="1"/>
    <col min="12290" max="12290" width="12.85546875" style="1165" customWidth="1"/>
    <col min="12291" max="12291" width="14.7109375" style="1165" customWidth="1"/>
    <col min="12292" max="12292" width="10" style="1165" customWidth="1"/>
    <col min="12293" max="12293" width="6.28515625" style="1165" customWidth="1"/>
    <col min="12294" max="12294" width="12.28515625" style="1165" customWidth="1"/>
    <col min="12295" max="12295" width="8.5703125" style="1165" customWidth="1"/>
    <col min="12296" max="12296" width="13.7109375" style="1165" customWidth="1"/>
    <col min="12297" max="12297" width="11.5703125" style="1165" customWidth="1"/>
    <col min="12298" max="12298" width="34.28515625" style="1165" customWidth="1"/>
    <col min="12299" max="12299" width="24.28515625" style="1165" customWidth="1"/>
    <col min="12300" max="12300" width="21.140625" style="1165" customWidth="1"/>
    <col min="12301" max="12301" width="22.140625" style="1165" customWidth="1"/>
    <col min="12302" max="12302" width="8" style="1165" customWidth="1"/>
    <col min="12303" max="12303" width="17" style="1165" customWidth="1"/>
    <col min="12304" max="12304" width="12.7109375" style="1165" customWidth="1"/>
    <col min="12305" max="12305" width="24.5703125" style="1165" customWidth="1"/>
    <col min="12306" max="12306" width="29" style="1165" customWidth="1"/>
    <col min="12307" max="12307" width="17.7109375" style="1165" customWidth="1"/>
    <col min="12308" max="12308" width="36.42578125" style="1165" customWidth="1"/>
    <col min="12309" max="12309" width="21.85546875" style="1165" customWidth="1"/>
    <col min="12310" max="12310" width="11.7109375" style="1165" customWidth="1"/>
    <col min="12311" max="12311" width="26.28515625" style="1165" customWidth="1"/>
    <col min="12312" max="12312" width="9" style="1165" customWidth="1"/>
    <col min="12313" max="12313" width="6.28515625" style="1165" customWidth="1"/>
    <col min="12314" max="12315" width="7.28515625" style="1165" customWidth="1"/>
    <col min="12316" max="12316" width="8.42578125" style="1165" customWidth="1"/>
    <col min="12317" max="12317" width="9.5703125" style="1165" customWidth="1"/>
    <col min="12318" max="12318" width="6.28515625" style="1165" customWidth="1"/>
    <col min="12319" max="12319" width="5.85546875" style="1165" customWidth="1"/>
    <col min="12320" max="12321" width="4.42578125" style="1165" customWidth="1"/>
    <col min="12322" max="12322" width="5" style="1165" customWidth="1"/>
    <col min="12323" max="12323" width="5.85546875" style="1165" customWidth="1"/>
    <col min="12324" max="12324" width="6.140625" style="1165" customWidth="1"/>
    <col min="12325" max="12325" width="6.28515625" style="1165" customWidth="1"/>
    <col min="12326" max="12326" width="11.140625" style="1165" customWidth="1"/>
    <col min="12327" max="12327" width="14.140625" style="1165" customWidth="1"/>
    <col min="12328" max="12328" width="19.85546875" style="1165" customWidth="1"/>
    <col min="12329" max="12329" width="17" style="1165" customWidth="1"/>
    <col min="12330" max="12330" width="20.85546875" style="1165" customWidth="1"/>
    <col min="12331" max="12543" width="11.42578125" style="1165"/>
    <col min="12544" max="12544" width="13.140625" style="1165" customWidth="1"/>
    <col min="12545" max="12545" width="4" style="1165" customWidth="1"/>
    <col min="12546" max="12546" width="12.85546875" style="1165" customWidth="1"/>
    <col min="12547" max="12547" width="14.7109375" style="1165" customWidth="1"/>
    <col min="12548" max="12548" width="10" style="1165" customWidth="1"/>
    <col min="12549" max="12549" width="6.28515625" style="1165" customWidth="1"/>
    <col min="12550" max="12550" width="12.28515625" style="1165" customWidth="1"/>
    <col min="12551" max="12551" width="8.5703125" style="1165" customWidth="1"/>
    <col min="12552" max="12552" width="13.7109375" style="1165" customWidth="1"/>
    <col min="12553" max="12553" width="11.5703125" style="1165" customWidth="1"/>
    <col min="12554" max="12554" width="34.28515625" style="1165" customWidth="1"/>
    <col min="12555" max="12555" width="24.28515625" style="1165" customWidth="1"/>
    <col min="12556" max="12556" width="21.140625" style="1165" customWidth="1"/>
    <col min="12557" max="12557" width="22.140625" style="1165" customWidth="1"/>
    <col min="12558" max="12558" width="8" style="1165" customWidth="1"/>
    <col min="12559" max="12559" width="17" style="1165" customWidth="1"/>
    <col min="12560" max="12560" width="12.7109375" style="1165" customWidth="1"/>
    <col min="12561" max="12561" width="24.5703125" style="1165" customWidth="1"/>
    <col min="12562" max="12562" width="29" style="1165" customWidth="1"/>
    <col min="12563" max="12563" width="17.7109375" style="1165" customWidth="1"/>
    <col min="12564" max="12564" width="36.42578125" style="1165" customWidth="1"/>
    <col min="12565" max="12565" width="21.85546875" style="1165" customWidth="1"/>
    <col min="12566" max="12566" width="11.7109375" style="1165" customWidth="1"/>
    <col min="12567" max="12567" width="26.28515625" style="1165" customWidth="1"/>
    <col min="12568" max="12568" width="9" style="1165" customWidth="1"/>
    <col min="12569" max="12569" width="6.28515625" style="1165" customWidth="1"/>
    <col min="12570" max="12571" width="7.28515625" style="1165" customWidth="1"/>
    <col min="12572" max="12572" width="8.42578125" style="1165" customWidth="1"/>
    <col min="12573" max="12573" width="9.5703125" style="1165" customWidth="1"/>
    <col min="12574" max="12574" width="6.28515625" style="1165" customWidth="1"/>
    <col min="12575" max="12575" width="5.85546875" style="1165" customWidth="1"/>
    <col min="12576" max="12577" width="4.42578125" style="1165" customWidth="1"/>
    <col min="12578" max="12578" width="5" style="1165" customWidth="1"/>
    <col min="12579" max="12579" width="5.85546875" style="1165" customWidth="1"/>
    <col min="12580" max="12580" width="6.140625" style="1165" customWidth="1"/>
    <col min="12581" max="12581" width="6.28515625" style="1165" customWidth="1"/>
    <col min="12582" max="12582" width="11.140625" style="1165" customWidth="1"/>
    <col min="12583" max="12583" width="14.140625" style="1165" customWidth="1"/>
    <col min="12584" max="12584" width="19.85546875" style="1165" customWidth="1"/>
    <col min="12585" max="12585" width="17" style="1165" customWidth="1"/>
    <col min="12586" max="12586" width="20.85546875" style="1165" customWidth="1"/>
    <col min="12587" max="12799" width="11.42578125" style="1165"/>
    <col min="12800" max="12800" width="13.140625" style="1165" customWidth="1"/>
    <col min="12801" max="12801" width="4" style="1165" customWidth="1"/>
    <col min="12802" max="12802" width="12.85546875" style="1165" customWidth="1"/>
    <col min="12803" max="12803" width="14.7109375" style="1165" customWidth="1"/>
    <col min="12804" max="12804" width="10" style="1165" customWidth="1"/>
    <col min="12805" max="12805" width="6.28515625" style="1165" customWidth="1"/>
    <col min="12806" max="12806" width="12.28515625" style="1165" customWidth="1"/>
    <col min="12807" max="12807" width="8.5703125" style="1165" customWidth="1"/>
    <col min="12808" max="12808" width="13.7109375" style="1165" customWidth="1"/>
    <col min="12809" max="12809" width="11.5703125" style="1165" customWidth="1"/>
    <col min="12810" max="12810" width="34.28515625" style="1165" customWidth="1"/>
    <col min="12811" max="12811" width="24.28515625" style="1165" customWidth="1"/>
    <col min="12812" max="12812" width="21.140625" style="1165" customWidth="1"/>
    <col min="12813" max="12813" width="22.140625" style="1165" customWidth="1"/>
    <col min="12814" max="12814" width="8" style="1165" customWidth="1"/>
    <col min="12815" max="12815" width="17" style="1165" customWidth="1"/>
    <col min="12816" max="12816" width="12.7109375" style="1165" customWidth="1"/>
    <col min="12817" max="12817" width="24.5703125" style="1165" customWidth="1"/>
    <col min="12818" max="12818" width="29" style="1165" customWidth="1"/>
    <col min="12819" max="12819" width="17.7109375" style="1165" customWidth="1"/>
    <col min="12820" max="12820" width="36.42578125" style="1165" customWidth="1"/>
    <col min="12821" max="12821" width="21.85546875" style="1165" customWidth="1"/>
    <col min="12822" max="12822" width="11.7109375" style="1165" customWidth="1"/>
    <col min="12823" max="12823" width="26.28515625" style="1165" customWidth="1"/>
    <col min="12824" max="12824" width="9" style="1165" customWidth="1"/>
    <col min="12825" max="12825" width="6.28515625" style="1165" customWidth="1"/>
    <col min="12826" max="12827" width="7.28515625" style="1165" customWidth="1"/>
    <col min="12828" max="12828" width="8.42578125" style="1165" customWidth="1"/>
    <col min="12829" max="12829" width="9.5703125" style="1165" customWidth="1"/>
    <col min="12830" max="12830" width="6.28515625" style="1165" customWidth="1"/>
    <col min="12831" max="12831" width="5.85546875" style="1165" customWidth="1"/>
    <col min="12832" max="12833" width="4.42578125" style="1165" customWidth="1"/>
    <col min="12834" max="12834" width="5" style="1165" customWidth="1"/>
    <col min="12835" max="12835" width="5.85546875" style="1165" customWidth="1"/>
    <col min="12836" max="12836" width="6.140625" style="1165" customWidth="1"/>
    <col min="12837" max="12837" width="6.28515625" style="1165" customWidth="1"/>
    <col min="12838" max="12838" width="11.140625" style="1165" customWidth="1"/>
    <col min="12839" max="12839" width="14.140625" style="1165" customWidth="1"/>
    <col min="12840" max="12840" width="19.85546875" style="1165" customWidth="1"/>
    <col min="12841" max="12841" width="17" style="1165" customWidth="1"/>
    <col min="12842" max="12842" width="20.85546875" style="1165" customWidth="1"/>
    <col min="12843" max="13055" width="11.42578125" style="1165"/>
    <col min="13056" max="13056" width="13.140625" style="1165" customWidth="1"/>
    <col min="13057" max="13057" width="4" style="1165" customWidth="1"/>
    <col min="13058" max="13058" width="12.85546875" style="1165" customWidth="1"/>
    <col min="13059" max="13059" width="14.7109375" style="1165" customWidth="1"/>
    <col min="13060" max="13060" width="10" style="1165" customWidth="1"/>
    <col min="13061" max="13061" width="6.28515625" style="1165" customWidth="1"/>
    <col min="13062" max="13062" width="12.28515625" style="1165" customWidth="1"/>
    <col min="13063" max="13063" width="8.5703125" style="1165" customWidth="1"/>
    <col min="13064" max="13064" width="13.7109375" style="1165" customWidth="1"/>
    <col min="13065" max="13065" width="11.5703125" style="1165" customWidth="1"/>
    <col min="13066" max="13066" width="34.28515625" style="1165" customWidth="1"/>
    <col min="13067" max="13067" width="24.28515625" style="1165" customWidth="1"/>
    <col min="13068" max="13068" width="21.140625" style="1165" customWidth="1"/>
    <col min="13069" max="13069" width="22.140625" style="1165" customWidth="1"/>
    <col min="13070" max="13070" width="8" style="1165" customWidth="1"/>
    <col min="13071" max="13071" width="17" style="1165" customWidth="1"/>
    <col min="13072" max="13072" width="12.7109375" style="1165" customWidth="1"/>
    <col min="13073" max="13073" width="24.5703125" style="1165" customWidth="1"/>
    <col min="13074" max="13074" width="29" style="1165" customWidth="1"/>
    <col min="13075" max="13075" width="17.7109375" style="1165" customWidth="1"/>
    <col min="13076" max="13076" width="36.42578125" style="1165" customWidth="1"/>
    <col min="13077" max="13077" width="21.85546875" style="1165" customWidth="1"/>
    <col min="13078" max="13078" width="11.7109375" style="1165" customWidth="1"/>
    <col min="13079" max="13079" width="26.28515625" style="1165" customWidth="1"/>
    <col min="13080" max="13080" width="9" style="1165" customWidth="1"/>
    <col min="13081" max="13081" width="6.28515625" style="1165" customWidth="1"/>
    <col min="13082" max="13083" width="7.28515625" style="1165" customWidth="1"/>
    <col min="13084" max="13084" width="8.42578125" style="1165" customWidth="1"/>
    <col min="13085" max="13085" width="9.5703125" style="1165" customWidth="1"/>
    <col min="13086" max="13086" width="6.28515625" style="1165" customWidth="1"/>
    <col min="13087" max="13087" width="5.85546875" style="1165" customWidth="1"/>
    <col min="13088" max="13089" width="4.42578125" style="1165" customWidth="1"/>
    <col min="13090" max="13090" width="5" style="1165" customWidth="1"/>
    <col min="13091" max="13091" width="5.85546875" style="1165" customWidth="1"/>
    <col min="13092" max="13092" width="6.140625" style="1165" customWidth="1"/>
    <col min="13093" max="13093" width="6.28515625" style="1165" customWidth="1"/>
    <col min="13094" max="13094" width="11.140625" style="1165" customWidth="1"/>
    <col min="13095" max="13095" width="14.140625" style="1165" customWidth="1"/>
    <col min="13096" max="13096" width="19.85546875" style="1165" customWidth="1"/>
    <col min="13097" max="13097" width="17" style="1165" customWidth="1"/>
    <col min="13098" max="13098" width="20.85546875" style="1165" customWidth="1"/>
    <col min="13099" max="13311" width="11.42578125" style="1165"/>
    <col min="13312" max="13312" width="13.140625" style="1165" customWidth="1"/>
    <col min="13313" max="13313" width="4" style="1165" customWidth="1"/>
    <col min="13314" max="13314" width="12.85546875" style="1165" customWidth="1"/>
    <col min="13315" max="13315" width="14.7109375" style="1165" customWidth="1"/>
    <col min="13316" max="13316" width="10" style="1165" customWidth="1"/>
    <col min="13317" max="13317" width="6.28515625" style="1165" customWidth="1"/>
    <col min="13318" max="13318" width="12.28515625" style="1165" customWidth="1"/>
    <col min="13319" max="13319" width="8.5703125" style="1165" customWidth="1"/>
    <col min="13320" max="13320" width="13.7109375" style="1165" customWidth="1"/>
    <col min="13321" max="13321" width="11.5703125" style="1165" customWidth="1"/>
    <col min="13322" max="13322" width="34.28515625" style="1165" customWidth="1"/>
    <col min="13323" max="13323" width="24.28515625" style="1165" customWidth="1"/>
    <col min="13324" max="13324" width="21.140625" style="1165" customWidth="1"/>
    <col min="13325" max="13325" width="22.140625" style="1165" customWidth="1"/>
    <col min="13326" max="13326" width="8" style="1165" customWidth="1"/>
    <col min="13327" max="13327" width="17" style="1165" customWidth="1"/>
    <col min="13328" max="13328" width="12.7109375" style="1165" customWidth="1"/>
    <col min="13329" max="13329" width="24.5703125" style="1165" customWidth="1"/>
    <col min="13330" max="13330" width="29" style="1165" customWidth="1"/>
    <col min="13331" max="13331" width="17.7109375" style="1165" customWidth="1"/>
    <col min="13332" max="13332" width="36.42578125" style="1165" customWidth="1"/>
    <col min="13333" max="13333" width="21.85546875" style="1165" customWidth="1"/>
    <col min="13334" max="13334" width="11.7109375" style="1165" customWidth="1"/>
    <col min="13335" max="13335" width="26.28515625" style="1165" customWidth="1"/>
    <col min="13336" max="13336" width="9" style="1165" customWidth="1"/>
    <col min="13337" max="13337" width="6.28515625" style="1165" customWidth="1"/>
    <col min="13338" max="13339" width="7.28515625" style="1165" customWidth="1"/>
    <col min="13340" max="13340" width="8.42578125" style="1165" customWidth="1"/>
    <col min="13341" max="13341" width="9.5703125" style="1165" customWidth="1"/>
    <col min="13342" max="13342" width="6.28515625" style="1165" customWidth="1"/>
    <col min="13343" max="13343" width="5.85546875" style="1165" customWidth="1"/>
    <col min="13344" max="13345" width="4.42578125" style="1165" customWidth="1"/>
    <col min="13346" max="13346" width="5" style="1165" customWidth="1"/>
    <col min="13347" max="13347" width="5.85546875" style="1165" customWidth="1"/>
    <col min="13348" max="13348" width="6.140625" style="1165" customWidth="1"/>
    <col min="13349" max="13349" width="6.28515625" style="1165" customWidth="1"/>
    <col min="13350" max="13350" width="11.140625" style="1165" customWidth="1"/>
    <col min="13351" max="13351" width="14.140625" style="1165" customWidth="1"/>
    <col min="13352" max="13352" width="19.85546875" style="1165" customWidth="1"/>
    <col min="13353" max="13353" width="17" style="1165" customWidth="1"/>
    <col min="13354" max="13354" width="20.85546875" style="1165" customWidth="1"/>
    <col min="13355" max="13567" width="11.42578125" style="1165"/>
    <col min="13568" max="13568" width="13.140625" style="1165" customWidth="1"/>
    <col min="13569" max="13569" width="4" style="1165" customWidth="1"/>
    <col min="13570" max="13570" width="12.85546875" style="1165" customWidth="1"/>
    <col min="13571" max="13571" width="14.7109375" style="1165" customWidth="1"/>
    <col min="13572" max="13572" width="10" style="1165" customWidth="1"/>
    <col min="13573" max="13573" width="6.28515625" style="1165" customWidth="1"/>
    <col min="13574" max="13574" width="12.28515625" style="1165" customWidth="1"/>
    <col min="13575" max="13575" width="8.5703125" style="1165" customWidth="1"/>
    <col min="13576" max="13576" width="13.7109375" style="1165" customWidth="1"/>
    <col min="13577" max="13577" width="11.5703125" style="1165" customWidth="1"/>
    <col min="13578" max="13578" width="34.28515625" style="1165" customWidth="1"/>
    <col min="13579" max="13579" width="24.28515625" style="1165" customWidth="1"/>
    <col min="13580" max="13580" width="21.140625" style="1165" customWidth="1"/>
    <col min="13581" max="13581" width="22.140625" style="1165" customWidth="1"/>
    <col min="13582" max="13582" width="8" style="1165" customWidth="1"/>
    <col min="13583" max="13583" width="17" style="1165" customWidth="1"/>
    <col min="13584" max="13584" width="12.7109375" style="1165" customWidth="1"/>
    <col min="13585" max="13585" width="24.5703125" style="1165" customWidth="1"/>
    <col min="13586" max="13586" width="29" style="1165" customWidth="1"/>
    <col min="13587" max="13587" width="17.7109375" style="1165" customWidth="1"/>
    <col min="13588" max="13588" width="36.42578125" style="1165" customWidth="1"/>
    <col min="13589" max="13589" width="21.85546875" style="1165" customWidth="1"/>
    <col min="13590" max="13590" width="11.7109375" style="1165" customWidth="1"/>
    <col min="13591" max="13591" width="26.28515625" style="1165" customWidth="1"/>
    <col min="13592" max="13592" width="9" style="1165" customWidth="1"/>
    <col min="13593" max="13593" width="6.28515625" style="1165" customWidth="1"/>
    <col min="13594" max="13595" width="7.28515625" style="1165" customWidth="1"/>
    <col min="13596" max="13596" width="8.42578125" style="1165" customWidth="1"/>
    <col min="13597" max="13597" width="9.5703125" style="1165" customWidth="1"/>
    <col min="13598" max="13598" width="6.28515625" style="1165" customWidth="1"/>
    <col min="13599" max="13599" width="5.85546875" style="1165" customWidth="1"/>
    <col min="13600" max="13601" width="4.42578125" style="1165" customWidth="1"/>
    <col min="13602" max="13602" width="5" style="1165" customWidth="1"/>
    <col min="13603" max="13603" width="5.85546875" style="1165" customWidth="1"/>
    <col min="13604" max="13604" width="6.140625" style="1165" customWidth="1"/>
    <col min="13605" max="13605" width="6.28515625" style="1165" customWidth="1"/>
    <col min="13606" max="13606" width="11.140625" style="1165" customWidth="1"/>
    <col min="13607" max="13607" width="14.140625" style="1165" customWidth="1"/>
    <col min="13608" max="13608" width="19.85546875" style="1165" customWidth="1"/>
    <col min="13609" max="13609" width="17" style="1165" customWidth="1"/>
    <col min="13610" max="13610" width="20.85546875" style="1165" customWidth="1"/>
    <col min="13611" max="13823" width="11.42578125" style="1165"/>
    <col min="13824" max="13824" width="13.140625" style="1165" customWidth="1"/>
    <col min="13825" max="13825" width="4" style="1165" customWidth="1"/>
    <col min="13826" max="13826" width="12.85546875" style="1165" customWidth="1"/>
    <col min="13827" max="13827" width="14.7109375" style="1165" customWidth="1"/>
    <col min="13828" max="13828" width="10" style="1165" customWidth="1"/>
    <col min="13829" max="13829" width="6.28515625" style="1165" customWidth="1"/>
    <col min="13830" max="13830" width="12.28515625" style="1165" customWidth="1"/>
    <col min="13831" max="13831" width="8.5703125" style="1165" customWidth="1"/>
    <col min="13832" max="13832" width="13.7109375" style="1165" customWidth="1"/>
    <col min="13833" max="13833" width="11.5703125" style="1165" customWidth="1"/>
    <col min="13834" max="13834" width="34.28515625" style="1165" customWidth="1"/>
    <col min="13835" max="13835" width="24.28515625" style="1165" customWidth="1"/>
    <col min="13836" max="13836" width="21.140625" style="1165" customWidth="1"/>
    <col min="13837" max="13837" width="22.140625" style="1165" customWidth="1"/>
    <col min="13838" max="13838" width="8" style="1165" customWidth="1"/>
    <col min="13839" max="13839" width="17" style="1165" customWidth="1"/>
    <col min="13840" max="13840" width="12.7109375" style="1165" customWidth="1"/>
    <col min="13841" max="13841" width="24.5703125" style="1165" customWidth="1"/>
    <col min="13842" max="13842" width="29" style="1165" customWidth="1"/>
    <col min="13843" max="13843" width="17.7109375" style="1165" customWidth="1"/>
    <col min="13844" max="13844" width="36.42578125" style="1165" customWidth="1"/>
    <col min="13845" max="13845" width="21.85546875" style="1165" customWidth="1"/>
    <col min="13846" max="13846" width="11.7109375" style="1165" customWidth="1"/>
    <col min="13847" max="13847" width="26.28515625" style="1165" customWidth="1"/>
    <col min="13848" max="13848" width="9" style="1165" customWidth="1"/>
    <col min="13849" max="13849" width="6.28515625" style="1165" customWidth="1"/>
    <col min="13850" max="13851" width="7.28515625" style="1165" customWidth="1"/>
    <col min="13852" max="13852" width="8.42578125" style="1165" customWidth="1"/>
    <col min="13853" max="13853" width="9.5703125" style="1165" customWidth="1"/>
    <col min="13854" max="13854" width="6.28515625" style="1165" customWidth="1"/>
    <col min="13855" max="13855" width="5.85546875" style="1165" customWidth="1"/>
    <col min="13856" max="13857" width="4.42578125" style="1165" customWidth="1"/>
    <col min="13858" max="13858" width="5" style="1165" customWidth="1"/>
    <col min="13859" max="13859" width="5.85546875" style="1165" customWidth="1"/>
    <col min="13860" max="13860" width="6.140625" style="1165" customWidth="1"/>
    <col min="13861" max="13861" width="6.28515625" style="1165" customWidth="1"/>
    <col min="13862" max="13862" width="11.140625" style="1165" customWidth="1"/>
    <col min="13863" max="13863" width="14.140625" style="1165" customWidth="1"/>
    <col min="13864" max="13864" width="19.85546875" style="1165" customWidth="1"/>
    <col min="13865" max="13865" width="17" style="1165" customWidth="1"/>
    <col min="13866" max="13866" width="20.85546875" style="1165" customWidth="1"/>
    <col min="13867" max="14079" width="11.42578125" style="1165"/>
    <col min="14080" max="14080" width="13.140625" style="1165" customWidth="1"/>
    <col min="14081" max="14081" width="4" style="1165" customWidth="1"/>
    <col min="14082" max="14082" width="12.85546875" style="1165" customWidth="1"/>
    <col min="14083" max="14083" width="14.7109375" style="1165" customWidth="1"/>
    <col min="14084" max="14084" width="10" style="1165" customWidth="1"/>
    <col min="14085" max="14085" width="6.28515625" style="1165" customWidth="1"/>
    <col min="14086" max="14086" width="12.28515625" style="1165" customWidth="1"/>
    <col min="14087" max="14087" width="8.5703125" style="1165" customWidth="1"/>
    <col min="14088" max="14088" width="13.7109375" style="1165" customWidth="1"/>
    <col min="14089" max="14089" width="11.5703125" style="1165" customWidth="1"/>
    <col min="14090" max="14090" width="34.28515625" style="1165" customWidth="1"/>
    <col min="14091" max="14091" width="24.28515625" style="1165" customWidth="1"/>
    <col min="14092" max="14092" width="21.140625" style="1165" customWidth="1"/>
    <col min="14093" max="14093" width="22.140625" style="1165" customWidth="1"/>
    <col min="14094" max="14094" width="8" style="1165" customWidth="1"/>
    <col min="14095" max="14095" width="17" style="1165" customWidth="1"/>
    <col min="14096" max="14096" width="12.7109375" style="1165" customWidth="1"/>
    <col min="14097" max="14097" width="24.5703125" style="1165" customWidth="1"/>
    <col min="14098" max="14098" width="29" style="1165" customWidth="1"/>
    <col min="14099" max="14099" width="17.7109375" style="1165" customWidth="1"/>
    <col min="14100" max="14100" width="36.42578125" style="1165" customWidth="1"/>
    <col min="14101" max="14101" width="21.85546875" style="1165" customWidth="1"/>
    <col min="14102" max="14102" width="11.7109375" style="1165" customWidth="1"/>
    <col min="14103" max="14103" width="26.28515625" style="1165" customWidth="1"/>
    <col min="14104" max="14104" width="9" style="1165" customWidth="1"/>
    <col min="14105" max="14105" width="6.28515625" style="1165" customWidth="1"/>
    <col min="14106" max="14107" width="7.28515625" style="1165" customWidth="1"/>
    <col min="14108" max="14108" width="8.42578125" style="1165" customWidth="1"/>
    <col min="14109" max="14109" width="9.5703125" style="1165" customWidth="1"/>
    <col min="14110" max="14110" width="6.28515625" style="1165" customWidth="1"/>
    <col min="14111" max="14111" width="5.85546875" style="1165" customWidth="1"/>
    <col min="14112" max="14113" width="4.42578125" style="1165" customWidth="1"/>
    <col min="14114" max="14114" width="5" style="1165" customWidth="1"/>
    <col min="14115" max="14115" width="5.85546875" style="1165" customWidth="1"/>
    <col min="14116" max="14116" width="6.140625" style="1165" customWidth="1"/>
    <col min="14117" max="14117" width="6.28515625" style="1165" customWidth="1"/>
    <col min="14118" max="14118" width="11.140625" style="1165" customWidth="1"/>
    <col min="14119" max="14119" width="14.140625" style="1165" customWidth="1"/>
    <col min="14120" max="14120" width="19.85546875" style="1165" customWidth="1"/>
    <col min="14121" max="14121" width="17" style="1165" customWidth="1"/>
    <col min="14122" max="14122" width="20.85546875" style="1165" customWidth="1"/>
    <col min="14123" max="14335" width="11.42578125" style="1165"/>
    <col min="14336" max="14336" width="13.140625" style="1165" customWidth="1"/>
    <col min="14337" max="14337" width="4" style="1165" customWidth="1"/>
    <col min="14338" max="14338" width="12.85546875" style="1165" customWidth="1"/>
    <col min="14339" max="14339" width="14.7109375" style="1165" customWidth="1"/>
    <col min="14340" max="14340" width="10" style="1165" customWidth="1"/>
    <col min="14341" max="14341" width="6.28515625" style="1165" customWidth="1"/>
    <col min="14342" max="14342" width="12.28515625" style="1165" customWidth="1"/>
    <col min="14343" max="14343" width="8.5703125" style="1165" customWidth="1"/>
    <col min="14344" max="14344" width="13.7109375" style="1165" customWidth="1"/>
    <col min="14345" max="14345" width="11.5703125" style="1165" customWidth="1"/>
    <col min="14346" max="14346" width="34.28515625" style="1165" customWidth="1"/>
    <col min="14347" max="14347" width="24.28515625" style="1165" customWidth="1"/>
    <col min="14348" max="14348" width="21.140625" style="1165" customWidth="1"/>
    <col min="14349" max="14349" width="22.140625" style="1165" customWidth="1"/>
    <col min="14350" max="14350" width="8" style="1165" customWidth="1"/>
    <col min="14351" max="14351" width="17" style="1165" customWidth="1"/>
    <col min="14352" max="14352" width="12.7109375" style="1165" customWidth="1"/>
    <col min="14353" max="14353" width="24.5703125" style="1165" customWidth="1"/>
    <col min="14354" max="14354" width="29" style="1165" customWidth="1"/>
    <col min="14355" max="14355" width="17.7109375" style="1165" customWidth="1"/>
    <col min="14356" max="14356" width="36.42578125" style="1165" customWidth="1"/>
    <col min="14357" max="14357" width="21.85546875" style="1165" customWidth="1"/>
    <col min="14358" max="14358" width="11.7109375" style="1165" customWidth="1"/>
    <col min="14359" max="14359" width="26.28515625" style="1165" customWidth="1"/>
    <col min="14360" max="14360" width="9" style="1165" customWidth="1"/>
    <col min="14361" max="14361" width="6.28515625" style="1165" customWidth="1"/>
    <col min="14362" max="14363" width="7.28515625" style="1165" customWidth="1"/>
    <col min="14364" max="14364" width="8.42578125" style="1165" customWidth="1"/>
    <col min="14365" max="14365" width="9.5703125" style="1165" customWidth="1"/>
    <col min="14366" max="14366" width="6.28515625" style="1165" customWidth="1"/>
    <col min="14367" max="14367" width="5.85546875" style="1165" customWidth="1"/>
    <col min="14368" max="14369" width="4.42578125" style="1165" customWidth="1"/>
    <col min="14370" max="14370" width="5" style="1165" customWidth="1"/>
    <col min="14371" max="14371" width="5.85546875" style="1165" customWidth="1"/>
    <col min="14372" max="14372" width="6.140625" style="1165" customWidth="1"/>
    <col min="14373" max="14373" width="6.28515625" style="1165" customWidth="1"/>
    <col min="14374" max="14374" width="11.140625" style="1165" customWidth="1"/>
    <col min="14375" max="14375" width="14.140625" style="1165" customWidth="1"/>
    <col min="14376" max="14376" width="19.85546875" style="1165" customWidth="1"/>
    <col min="14377" max="14377" width="17" style="1165" customWidth="1"/>
    <col min="14378" max="14378" width="20.85546875" style="1165" customWidth="1"/>
    <col min="14379" max="14591" width="11.42578125" style="1165"/>
    <col min="14592" max="14592" width="13.140625" style="1165" customWidth="1"/>
    <col min="14593" max="14593" width="4" style="1165" customWidth="1"/>
    <col min="14594" max="14594" width="12.85546875" style="1165" customWidth="1"/>
    <col min="14595" max="14595" width="14.7109375" style="1165" customWidth="1"/>
    <col min="14596" max="14596" width="10" style="1165" customWidth="1"/>
    <col min="14597" max="14597" width="6.28515625" style="1165" customWidth="1"/>
    <col min="14598" max="14598" width="12.28515625" style="1165" customWidth="1"/>
    <col min="14599" max="14599" width="8.5703125" style="1165" customWidth="1"/>
    <col min="14600" max="14600" width="13.7109375" style="1165" customWidth="1"/>
    <col min="14601" max="14601" width="11.5703125" style="1165" customWidth="1"/>
    <col min="14602" max="14602" width="34.28515625" style="1165" customWidth="1"/>
    <col min="14603" max="14603" width="24.28515625" style="1165" customWidth="1"/>
    <col min="14604" max="14604" width="21.140625" style="1165" customWidth="1"/>
    <col min="14605" max="14605" width="22.140625" style="1165" customWidth="1"/>
    <col min="14606" max="14606" width="8" style="1165" customWidth="1"/>
    <col min="14607" max="14607" width="17" style="1165" customWidth="1"/>
    <col min="14608" max="14608" width="12.7109375" style="1165" customWidth="1"/>
    <col min="14609" max="14609" width="24.5703125" style="1165" customWidth="1"/>
    <col min="14610" max="14610" width="29" style="1165" customWidth="1"/>
    <col min="14611" max="14611" width="17.7109375" style="1165" customWidth="1"/>
    <col min="14612" max="14612" width="36.42578125" style="1165" customWidth="1"/>
    <col min="14613" max="14613" width="21.85546875" style="1165" customWidth="1"/>
    <col min="14614" max="14614" width="11.7109375" style="1165" customWidth="1"/>
    <col min="14615" max="14615" width="26.28515625" style="1165" customWidth="1"/>
    <col min="14616" max="14616" width="9" style="1165" customWidth="1"/>
    <col min="14617" max="14617" width="6.28515625" style="1165" customWidth="1"/>
    <col min="14618" max="14619" width="7.28515625" style="1165" customWidth="1"/>
    <col min="14620" max="14620" width="8.42578125" style="1165" customWidth="1"/>
    <col min="14621" max="14621" width="9.5703125" style="1165" customWidth="1"/>
    <col min="14622" max="14622" width="6.28515625" style="1165" customWidth="1"/>
    <col min="14623" max="14623" width="5.85546875" style="1165" customWidth="1"/>
    <col min="14624" max="14625" width="4.42578125" style="1165" customWidth="1"/>
    <col min="14626" max="14626" width="5" style="1165" customWidth="1"/>
    <col min="14627" max="14627" width="5.85546875" style="1165" customWidth="1"/>
    <col min="14628" max="14628" width="6.140625" style="1165" customWidth="1"/>
    <col min="14629" max="14629" width="6.28515625" style="1165" customWidth="1"/>
    <col min="14630" max="14630" width="11.140625" style="1165" customWidth="1"/>
    <col min="14631" max="14631" width="14.140625" style="1165" customWidth="1"/>
    <col min="14632" max="14632" width="19.85546875" style="1165" customWidth="1"/>
    <col min="14633" max="14633" width="17" style="1165" customWidth="1"/>
    <col min="14634" max="14634" width="20.85546875" style="1165" customWidth="1"/>
    <col min="14635" max="14847" width="11.42578125" style="1165"/>
    <col min="14848" max="14848" width="13.140625" style="1165" customWidth="1"/>
    <col min="14849" max="14849" width="4" style="1165" customWidth="1"/>
    <col min="14850" max="14850" width="12.85546875" style="1165" customWidth="1"/>
    <col min="14851" max="14851" width="14.7109375" style="1165" customWidth="1"/>
    <col min="14852" max="14852" width="10" style="1165" customWidth="1"/>
    <col min="14853" max="14853" width="6.28515625" style="1165" customWidth="1"/>
    <col min="14854" max="14854" width="12.28515625" style="1165" customWidth="1"/>
    <col min="14855" max="14855" width="8.5703125" style="1165" customWidth="1"/>
    <col min="14856" max="14856" width="13.7109375" style="1165" customWidth="1"/>
    <col min="14857" max="14857" width="11.5703125" style="1165" customWidth="1"/>
    <col min="14858" max="14858" width="34.28515625" style="1165" customWidth="1"/>
    <col min="14859" max="14859" width="24.28515625" style="1165" customWidth="1"/>
    <col min="14860" max="14860" width="21.140625" style="1165" customWidth="1"/>
    <col min="14861" max="14861" width="22.140625" style="1165" customWidth="1"/>
    <col min="14862" max="14862" width="8" style="1165" customWidth="1"/>
    <col min="14863" max="14863" width="17" style="1165" customWidth="1"/>
    <col min="14864" max="14864" width="12.7109375" style="1165" customWidth="1"/>
    <col min="14865" max="14865" width="24.5703125" style="1165" customWidth="1"/>
    <col min="14866" max="14866" width="29" style="1165" customWidth="1"/>
    <col min="14867" max="14867" width="17.7109375" style="1165" customWidth="1"/>
    <col min="14868" max="14868" width="36.42578125" style="1165" customWidth="1"/>
    <col min="14869" max="14869" width="21.85546875" style="1165" customWidth="1"/>
    <col min="14870" max="14870" width="11.7109375" style="1165" customWidth="1"/>
    <col min="14871" max="14871" width="26.28515625" style="1165" customWidth="1"/>
    <col min="14872" max="14872" width="9" style="1165" customWidth="1"/>
    <col min="14873" max="14873" width="6.28515625" style="1165" customWidth="1"/>
    <col min="14874" max="14875" width="7.28515625" style="1165" customWidth="1"/>
    <col min="14876" max="14876" width="8.42578125" style="1165" customWidth="1"/>
    <col min="14877" max="14877" width="9.5703125" style="1165" customWidth="1"/>
    <col min="14878" max="14878" width="6.28515625" style="1165" customWidth="1"/>
    <col min="14879" max="14879" width="5.85546875" style="1165" customWidth="1"/>
    <col min="14880" max="14881" width="4.42578125" style="1165" customWidth="1"/>
    <col min="14882" max="14882" width="5" style="1165" customWidth="1"/>
    <col min="14883" max="14883" width="5.85546875" style="1165" customWidth="1"/>
    <col min="14884" max="14884" width="6.140625" style="1165" customWidth="1"/>
    <col min="14885" max="14885" width="6.28515625" style="1165" customWidth="1"/>
    <col min="14886" max="14886" width="11.140625" style="1165" customWidth="1"/>
    <col min="14887" max="14887" width="14.140625" style="1165" customWidth="1"/>
    <col min="14888" max="14888" width="19.85546875" style="1165" customWidth="1"/>
    <col min="14889" max="14889" width="17" style="1165" customWidth="1"/>
    <col min="14890" max="14890" width="20.85546875" style="1165" customWidth="1"/>
    <col min="14891" max="15103" width="11.42578125" style="1165"/>
    <col min="15104" max="15104" width="13.140625" style="1165" customWidth="1"/>
    <col min="15105" max="15105" width="4" style="1165" customWidth="1"/>
    <col min="15106" max="15106" width="12.85546875" style="1165" customWidth="1"/>
    <col min="15107" max="15107" width="14.7109375" style="1165" customWidth="1"/>
    <col min="15108" max="15108" width="10" style="1165" customWidth="1"/>
    <col min="15109" max="15109" width="6.28515625" style="1165" customWidth="1"/>
    <col min="15110" max="15110" width="12.28515625" style="1165" customWidth="1"/>
    <col min="15111" max="15111" width="8.5703125" style="1165" customWidth="1"/>
    <col min="15112" max="15112" width="13.7109375" style="1165" customWidth="1"/>
    <col min="15113" max="15113" width="11.5703125" style="1165" customWidth="1"/>
    <col min="15114" max="15114" width="34.28515625" style="1165" customWidth="1"/>
    <col min="15115" max="15115" width="24.28515625" style="1165" customWidth="1"/>
    <col min="15116" max="15116" width="21.140625" style="1165" customWidth="1"/>
    <col min="15117" max="15117" width="22.140625" style="1165" customWidth="1"/>
    <col min="15118" max="15118" width="8" style="1165" customWidth="1"/>
    <col min="15119" max="15119" width="17" style="1165" customWidth="1"/>
    <col min="15120" max="15120" width="12.7109375" style="1165" customWidth="1"/>
    <col min="15121" max="15121" width="24.5703125" style="1165" customWidth="1"/>
    <col min="15122" max="15122" width="29" style="1165" customWidth="1"/>
    <col min="15123" max="15123" width="17.7109375" style="1165" customWidth="1"/>
    <col min="15124" max="15124" width="36.42578125" style="1165" customWidth="1"/>
    <col min="15125" max="15125" width="21.85546875" style="1165" customWidth="1"/>
    <col min="15126" max="15126" width="11.7109375" style="1165" customWidth="1"/>
    <col min="15127" max="15127" width="26.28515625" style="1165" customWidth="1"/>
    <col min="15128" max="15128" width="9" style="1165" customWidth="1"/>
    <col min="15129" max="15129" width="6.28515625" style="1165" customWidth="1"/>
    <col min="15130" max="15131" width="7.28515625" style="1165" customWidth="1"/>
    <col min="15132" max="15132" width="8.42578125" style="1165" customWidth="1"/>
    <col min="15133" max="15133" width="9.5703125" style="1165" customWidth="1"/>
    <col min="15134" max="15134" width="6.28515625" style="1165" customWidth="1"/>
    <col min="15135" max="15135" width="5.85546875" style="1165" customWidth="1"/>
    <col min="15136" max="15137" width="4.42578125" style="1165" customWidth="1"/>
    <col min="15138" max="15138" width="5" style="1165" customWidth="1"/>
    <col min="15139" max="15139" width="5.85546875" style="1165" customWidth="1"/>
    <col min="15140" max="15140" width="6.140625" style="1165" customWidth="1"/>
    <col min="15141" max="15141" width="6.28515625" style="1165" customWidth="1"/>
    <col min="15142" max="15142" width="11.140625" style="1165" customWidth="1"/>
    <col min="15143" max="15143" width="14.140625" style="1165" customWidth="1"/>
    <col min="15144" max="15144" width="19.85546875" style="1165" customWidth="1"/>
    <col min="15145" max="15145" width="17" style="1165" customWidth="1"/>
    <col min="15146" max="15146" width="20.85546875" style="1165" customWidth="1"/>
    <col min="15147" max="15359" width="11.42578125" style="1165"/>
    <col min="15360" max="15360" width="13.140625" style="1165" customWidth="1"/>
    <col min="15361" max="15361" width="4" style="1165" customWidth="1"/>
    <col min="15362" max="15362" width="12.85546875" style="1165" customWidth="1"/>
    <col min="15363" max="15363" width="14.7109375" style="1165" customWidth="1"/>
    <col min="15364" max="15364" width="10" style="1165" customWidth="1"/>
    <col min="15365" max="15365" width="6.28515625" style="1165" customWidth="1"/>
    <col min="15366" max="15366" width="12.28515625" style="1165" customWidth="1"/>
    <col min="15367" max="15367" width="8.5703125" style="1165" customWidth="1"/>
    <col min="15368" max="15368" width="13.7109375" style="1165" customWidth="1"/>
    <col min="15369" max="15369" width="11.5703125" style="1165" customWidth="1"/>
    <col min="15370" max="15370" width="34.28515625" style="1165" customWidth="1"/>
    <col min="15371" max="15371" width="24.28515625" style="1165" customWidth="1"/>
    <col min="15372" max="15372" width="21.140625" style="1165" customWidth="1"/>
    <col min="15373" max="15373" width="22.140625" style="1165" customWidth="1"/>
    <col min="15374" max="15374" width="8" style="1165" customWidth="1"/>
    <col min="15375" max="15375" width="17" style="1165" customWidth="1"/>
    <col min="15376" max="15376" width="12.7109375" style="1165" customWidth="1"/>
    <col min="15377" max="15377" width="24.5703125" style="1165" customWidth="1"/>
    <col min="15378" max="15378" width="29" style="1165" customWidth="1"/>
    <col min="15379" max="15379" width="17.7109375" style="1165" customWidth="1"/>
    <col min="15380" max="15380" width="36.42578125" style="1165" customWidth="1"/>
    <col min="15381" max="15381" width="21.85546875" style="1165" customWidth="1"/>
    <col min="15382" max="15382" width="11.7109375" style="1165" customWidth="1"/>
    <col min="15383" max="15383" width="26.28515625" style="1165" customWidth="1"/>
    <col min="15384" max="15384" width="9" style="1165" customWidth="1"/>
    <col min="15385" max="15385" width="6.28515625" style="1165" customWidth="1"/>
    <col min="15386" max="15387" width="7.28515625" style="1165" customWidth="1"/>
    <col min="15388" max="15388" width="8.42578125" style="1165" customWidth="1"/>
    <col min="15389" max="15389" width="9.5703125" style="1165" customWidth="1"/>
    <col min="15390" max="15390" width="6.28515625" style="1165" customWidth="1"/>
    <col min="15391" max="15391" width="5.85546875" style="1165" customWidth="1"/>
    <col min="15392" max="15393" width="4.42578125" style="1165" customWidth="1"/>
    <col min="15394" max="15394" width="5" style="1165" customWidth="1"/>
    <col min="15395" max="15395" width="5.85546875" style="1165" customWidth="1"/>
    <col min="15396" max="15396" width="6.140625" style="1165" customWidth="1"/>
    <col min="15397" max="15397" width="6.28515625" style="1165" customWidth="1"/>
    <col min="15398" max="15398" width="11.140625" style="1165" customWidth="1"/>
    <col min="15399" max="15399" width="14.140625" style="1165" customWidth="1"/>
    <col min="15400" max="15400" width="19.85546875" style="1165" customWidth="1"/>
    <col min="15401" max="15401" width="17" style="1165" customWidth="1"/>
    <col min="15402" max="15402" width="20.85546875" style="1165" customWidth="1"/>
    <col min="15403" max="15615" width="11.42578125" style="1165"/>
    <col min="15616" max="15616" width="13.140625" style="1165" customWidth="1"/>
    <col min="15617" max="15617" width="4" style="1165" customWidth="1"/>
    <col min="15618" max="15618" width="12.85546875" style="1165" customWidth="1"/>
    <col min="15619" max="15619" width="14.7109375" style="1165" customWidth="1"/>
    <col min="15620" max="15620" width="10" style="1165" customWidth="1"/>
    <col min="15621" max="15621" width="6.28515625" style="1165" customWidth="1"/>
    <col min="15622" max="15622" width="12.28515625" style="1165" customWidth="1"/>
    <col min="15623" max="15623" width="8.5703125" style="1165" customWidth="1"/>
    <col min="15624" max="15624" width="13.7109375" style="1165" customWidth="1"/>
    <col min="15625" max="15625" width="11.5703125" style="1165" customWidth="1"/>
    <col min="15626" max="15626" width="34.28515625" style="1165" customWidth="1"/>
    <col min="15627" max="15627" width="24.28515625" style="1165" customWidth="1"/>
    <col min="15628" max="15628" width="21.140625" style="1165" customWidth="1"/>
    <col min="15629" max="15629" width="22.140625" style="1165" customWidth="1"/>
    <col min="15630" max="15630" width="8" style="1165" customWidth="1"/>
    <col min="15631" max="15631" width="17" style="1165" customWidth="1"/>
    <col min="15632" max="15632" width="12.7109375" style="1165" customWidth="1"/>
    <col min="15633" max="15633" width="24.5703125" style="1165" customWidth="1"/>
    <col min="15634" max="15634" width="29" style="1165" customWidth="1"/>
    <col min="15635" max="15635" width="17.7109375" style="1165" customWidth="1"/>
    <col min="15636" max="15636" width="36.42578125" style="1165" customWidth="1"/>
    <col min="15637" max="15637" width="21.85546875" style="1165" customWidth="1"/>
    <col min="15638" max="15638" width="11.7109375" style="1165" customWidth="1"/>
    <col min="15639" max="15639" width="26.28515625" style="1165" customWidth="1"/>
    <col min="15640" max="15640" width="9" style="1165" customWidth="1"/>
    <col min="15641" max="15641" width="6.28515625" style="1165" customWidth="1"/>
    <col min="15642" max="15643" width="7.28515625" style="1165" customWidth="1"/>
    <col min="15644" max="15644" width="8.42578125" style="1165" customWidth="1"/>
    <col min="15645" max="15645" width="9.5703125" style="1165" customWidth="1"/>
    <col min="15646" max="15646" width="6.28515625" style="1165" customWidth="1"/>
    <col min="15647" max="15647" width="5.85546875" style="1165" customWidth="1"/>
    <col min="15648" max="15649" width="4.42578125" style="1165" customWidth="1"/>
    <col min="15650" max="15650" width="5" style="1165" customWidth="1"/>
    <col min="15651" max="15651" width="5.85546875" style="1165" customWidth="1"/>
    <col min="15652" max="15652" width="6.140625" style="1165" customWidth="1"/>
    <col min="15653" max="15653" width="6.28515625" style="1165" customWidth="1"/>
    <col min="15654" max="15654" width="11.140625" style="1165" customWidth="1"/>
    <col min="15655" max="15655" width="14.140625" style="1165" customWidth="1"/>
    <col min="15656" max="15656" width="19.85546875" style="1165" customWidth="1"/>
    <col min="15657" max="15657" width="17" style="1165" customWidth="1"/>
    <col min="15658" max="15658" width="20.85546875" style="1165" customWidth="1"/>
    <col min="15659" max="15871" width="11.42578125" style="1165"/>
    <col min="15872" max="15872" width="13.140625" style="1165" customWidth="1"/>
    <col min="15873" max="15873" width="4" style="1165" customWidth="1"/>
    <col min="15874" max="15874" width="12.85546875" style="1165" customWidth="1"/>
    <col min="15875" max="15875" width="14.7109375" style="1165" customWidth="1"/>
    <col min="15876" max="15876" width="10" style="1165" customWidth="1"/>
    <col min="15877" max="15877" width="6.28515625" style="1165" customWidth="1"/>
    <col min="15878" max="15878" width="12.28515625" style="1165" customWidth="1"/>
    <col min="15879" max="15879" width="8.5703125" style="1165" customWidth="1"/>
    <col min="15880" max="15880" width="13.7109375" style="1165" customWidth="1"/>
    <col min="15881" max="15881" width="11.5703125" style="1165" customWidth="1"/>
    <col min="15882" max="15882" width="34.28515625" style="1165" customWidth="1"/>
    <col min="15883" max="15883" width="24.28515625" style="1165" customWidth="1"/>
    <col min="15884" max="15884" width="21.140625" style="1165" customWidth="1"/>
    <col min="15885" max="15885" width="22.140625" style="1165" customWidth="1"/>
    <col min="15886" max="15886" width="8" style="1165" customWidth="1"/>
    <col min="15887" max="15887" width="17" style="1165" customWidth="1"/>
    <col min="15888" max="15888" width="12.7109375" style="1165" customWidth="1"/>
    <col min="15889" max="15889" width="24.5703125" style="1165" customWidth="1"/>
    <col min="15890" max="15890" width="29" style="1165" customWidth="1"/>
    <col min="15891" max="15891" width="17.7109375" style="1165" customWidth="1"/>
    <col min="15892" max="15892" width="36.42578125" style="1165" customWidth="1"/>
    <col min="15893" max="15893" width="21.85546875" style="1165" customWidth="1"/>
    <col min="15894" max="15894" width="11.7109375" style="1165" customWidth="1"/>
    <col min="15895" max="15895" width="26.28515625" style="1165" customWidth="1"/>
    <col min="15896" max="15896" width="9" style="1165" customWidth="1"/>
    <col min="15897" max="15897" width="6.28515625" style="1165" customWidth="1"/>
    <col min="15898" max="15899" width="7.28515625" style="1165" customWidth="1"/>
    <col min="15900" max="15900" width="8.42578125" style="1165" customWidth="1"/>
    <col min="15901" max="15901" width="9.5703125" style="1165" customWidth="1"/>
    <col min="15902" max="15902" width="6.28515625" style="1165" customWidth="1"/>
    <col min="15903" max="15903" width="5.85546875" style="1165" customWidth="1"/>
    <col min="15904" max="15905" width="4.42578125" style="1165" customWidth="1"/>
    <col min="15906" max="15906" width="5" style="1165" customWidth="1"/>
    <col min="15907" max="15907" width="5.85546875" style="1165" customWidth="1"/>
    <col min="15908" max="15908" width="6.140625" style="1165" customWidth="1"/>
    <col min="15909" max="15909" width="6.28515625" style="1165" customWidth="1"/>
    <col min="15910" max="15910" width="11.140625" style="1165" customWidth="1"/>
    <col min="15911" max="15911" width="14.140625" style="1165" customWidth="1"/>
    <col min="15912" max="15912" width="19.85546875" style="1165" customWidth="1"/>
    <col min="15913" max="15913" width="17" style="1165" customWidth="1"/>
    <col min="15914" max="15914" width="20.85546875" style="1165" customWidth="1"/>
    <col min="15915" max="16127" width="11.42578125" style="1165"/>
    <col min="16128" max="16128" width="13.140625" style="1165" customWidth="1"/>
    <col min="16129" max="16129" width="4" style="1165" customWidth="1"/>
    <col min="16130" max="16130" width="12.85546875" style="1165" customWidth="1"/>
    <col min="16131" max="16131" width="14.7109375" style="1165" customWidth="1"/>
    <col min="16132" max="16132" width="10" style="1165" customWidth="1"/>
    <col min="16133" max="16133" width="6.28515625" style="1165" customWidth="1"/>
    <col min="16134" max="16134" width="12.28515625" style="1165" customWidth="1"/>
    <col min="16135" max="16135" width="8.5703125" style="1165" customWidth="1"/>
    <col min="16136" max="16136" width="13.7109375" style="1165" customWidth="1"/>
    <col min="16137" max="16137" width="11.5703125" style="1165" customWidth="1"/>
    <col min="16138" max="16138" width="34.28515625" style="1165" customWidth="1"/>
    <col min="16139" max="16139" width="24.28515625" style="1165" customWidth="1"/>
    <col min="16140" max="16140" width="21.140625" style="1165" customWidth="1"/>
    <col min="16141" max="16141" width="22.140625" style="1165" customWidth="1"/>
    <col min="16142" max="16142" width="8" style="1165" customWidth="1"/>
    <col min="16143" max="16143" width="17" style="1165" customWidth="1"/>
    <col min="16144" max="16144" width="12.7109375" style="1165" customWidth="1"/>
    <col min="16145" max="16145" width="24.5703125" style="1165" customWidth="1"/>
    <col min="16146" max="16146" width="29" style="1165" customWidth="1"/>
    <col min="16147" max="16147" width="17.7109375" style="1165" customWidth="1"/>
    <col min="16148" max="16148" width="36.42578125" style="1165" customWidth="1"/>
    <col min="16149" max="16149" width="21.85546875" style="1165" customWidth="1"/>
    <col min="16150" max="16150" width="11.7109375" style="1165" customWidth="1"/>
    <col min="16151" max="16151" width="26.28515625" style="1165" customWidth="1"/>
    <col min="16152" max="16152" width="9" style="1165" customWidth="1"/>
    <col min="16153" max="16153" width="6.28515625" style="1165" customWidth="1"/>
    <col min="16154" max="16155" width="7.28515625" style="1165" customWidth="1"/>
    <col min="16156" max="16156" width="8.42578125" style="1165" customWidth="1"/>
    <col min="16157" max="16157" width="9.5703125" style="1165" customWidth="1"/>
    <col min="16158" max="16158" width="6.28515625" style="1165" customWidth="1"/>
    <col min="16159" max="16159" width="5.85546875" style="1165" customWidth="1"/>
    <col min="16160" max="16161" width="4.42578125" style="1165" customWidth="1"/>
    <col min="16162" max="16162" width="5" style="1165" customWidth="1"/>
    <col min="16163" max="16163" width="5.85546875" style="1165" customWidth="1"/>
    <col min="16164" max="16164" width="6.140625" style="1165" customWidth="1"/>
    <col min="16165" max="16165" width="6.28515625" style="1165" customWidth="1"/>
    <col min="16166" max="16166" width="11.140625" style="1165" customWidth="1"/>
    <col min="16167" max="16167" width="14.140625" style="1165" customWidth="1"/>
    <col min="16168" max="16168" width="19.85546875" style="1165" customWidth="1"/>
    <col min="16169" max="16169" width="17" style="1165" customWidth="1"/>
    <col min="16170" max="16170" width="20.85546875" style="1165" customWidth="1"/>
    <col min="16171" max="16384" width="11.42578125" style="1165"/>
  </cols>
  <sheetData>
    <row r="1" spans="1:62" ht="15" customHeight="1" x14ac:dyDescent="0.2">
      <c r="A1" s="3045" t="s">
        <v>1038</v>
      </c>
      <c r="B1" s="3532"/>
      <c r="C1" s="3532"/>
      <c r="D1" s="3532"/>
      <c r="E1" s="3532"/>
      <c r="F1" s="3532"/>
      <c r="G1" s="3532"/>
      <c r="H1" s="3532"/>
      <c r="I1" s="3532"/>
      <c r="J1" s="3532"/>
      <c r="K1" s="3532"/>
      <c r="L1" s="3532"/>
      <c r="M1" s="3532"/>
      <c r="N1" s="3532"/>
      <c r="O1" s="3532"/>
      <c r="P1" s="3532"/>
      <c r="Q1" s="3532"/>
      <c r="R1" s="3532"/>
      <c r="S1" s="3532"/>
      <c r="T1" s="3532"/>
      <c r="U1" s="3532"/>
      <c r="V1" s="3532"/>
      <c r="W1" s="3532"/>
      <c r="X1" s="3532"/>
      <c r="Y1" s="3532"/>
      <c r="Z1" s="3532"/>
      <c r="AA1" s="3532"/>
      <c r="AB1" s="3532"/>
      <c r="AC1" s="3532"/>
      <c r="AD1" s="3532"/>
      <c r="AE1" s="3532"/>
      <c r="AF1" s="3532"/>
      <c r="AG1" s="3532"/>
      <c r="AH1" s="3532"/>
      <c r="AI1" s="3532"/>
      <c r="AJ1" s="3532"/>
      <c r="AK1" s="3532"/>
      <c r="AL1" s="3532"/>
      <c r="AM1" s="3532"/>
      <c r="AN1" s="3532"/>
      <c r="AO1" s="4442"/>
      <c r="AP1" s="1211" t="s">
        <v>1</v>
      </c>
      <c r="AQ1" s="1211" t="s">
        <v>122</v>
      </c>
    </row>
    <row r="2" spans="1:62" ht="15" customHeight="1" x14ac:dyDescent="0.2">
      <c r="A2" s="3045"/>
      <c r="B2" s="3532"/>
      <c r="C2" s="3532"/>
      <c r="D2" s="3532"/>
      <c r="E2" s="3532"/>
      <c r="F2" s="3532"/>
      <c r="G2" s="3532"/>
      <c r="H2" s="3532"/>
      <c r="I2" s="3532"/>
      <c r="J2" s="3532"/>
      <c r="K2" s="3532"/>
      <c r="L2" s="3532"/>
      <c r="M2" s="3532"/>
      <c r="N2" s="3532"/>
      <c r="O2" s="3532"/>
      <c r="P2" s="3532"/>
      <c r="Q2" s="3532"/>
      <c r="R2" s="3532"/>
      <c r="S2" s="3532"/>
      <c r="T2" s="3532"/>
      <c r="U2" s="3532"/>
      <c r="V2" s="3532"/>
      <c r="W2" s="3532"/>
      <c r="X2" s="3532"/>
      <c r="Y2" s="3532"/>
      <c r="Z2" s="3532"/>
      <c r="AA2" s="3532"/>
      <c r="AB2" s="3532"/>
      <c r="AC2" s="3532"/>
      <c r="AD2" s="3532"/>
      <c r="AE2" s="3532"/>
      <c r="AF2" s="3532"/>
      <c r="AG2" s="3532"/>
      <c r="AH2" s="3532"/>
      <c r="AI2" s="3532"/>
      <c r="AJ2" s="3532"/>
      <c r="AK2" s="3532"/>
      <c r="AL2" s="3532"/>
      <c r="AM2" s="3532"/>
      <c r="AN2" s="3532"/>
      <c r="AO2" s="4442"/>
      <c r="AP2" s="1212" t="s">
        <v>3</v>
      </c>
      <c r="AQ2" s="1211" t="s">
        <v>123</v>
      </c>
    </row>
    <row r="3" spans="1:62" ht="15" customHeight="1" x14ac:dyDescent="0.2">
      <c r="A3" s="3045"/>
      <c r="B3" s="3532"/>
      <c r="C3" s="3532"/>
      <c r="D3" s="3532"/>
      <c r="E3" s="3532"/>
      <c r="F3" s="3532"/>
      <c r="G3" s="3532"/>
      <c r="H3" s="3532"/>
      <c r="I3" s="3532"/>
      <c r="J3" s="3532"/>
      <c r="K3" s="3532"/>
      <c r="L3" s="3532"/>
      <c r="M3" s="3532"/>
      <c r="N3" s="3532"/>
      <c r="O3" s="3532"/>
      <c r="P3" s="3532"/>
      <c r="Q3" s="3532"/>
      <c r="R3" s="3532"/>
      <c r="S3" s="3532"/>
      <c r="T3" s="3532"/>
      <c r="U3" s="3532"/>
      <c r="V3" s="3532"/>
      <c r="W3" s="3532"/>
      <c r="X3" s="3532"/>
      <c r="Y3" s="3532"/>
      <c r="Z3" s="3532"/>
      <c r="AA3" s="3532"/>
      <c r="AB3" s="3532"/>
      <c r="AC3" s="3532"/>
      <c r="AD3" s="3532"/>
      <c r="AE3" s="3532"/>
      <c r="AF3" s="3532"/>
      <c r="AG3" s="3532"/>
      <c r="AH3" s="3532"/>
      <c r="AI3" s="3532"/>
      <c r="AJ3" s="3532"/>
      <c r="AK3" s="3532"/>
      <c r="AL3" s="3532"/>
      <c r="AM3" s="3532"/>
      <c r="AN3" s="3532"/>
      <c r="AO3" s="4442"/>
      <c r="AP3" s="1211" t="s">
        <v>5</v>
      </c>
      <c r="AQ3" s="1213" t="s">
        <v>6</v>
      </c>
    </row>
    <row r="4" spans="1:62" s="1170" customFormat="1" ht="15" customHeight="1" x14ac:dyDescent="0.2">
      <c r="A4" s="3047"/>
      <c r="B4" s="3048"/>
      <c r="C4" s="3048"/>
      <c r="D4" s="3048"/>
      <c r="E4" s="3048"/>
      <c r="F4" s="3048"/>
      <c r="G4" s="3048"/>
      <c r="H4" s="3048"/>
      <c r="I4" s="3048"/>
      <c r="J4" s="3048"/>
      <c r="K4" s="3048"/>
      <c r="L4" s="3048"/>
      <c r="M4" s="3048"/>
      <c r="N4" s="3048"/>
      <c r="O4" s="3048"/>
      <c r="P4" s="3048"/>
      <c r="Q4" s="3048"/>
      <c r="R4" s="3048"/>
      <c r="S4" s="3048"/>
      <c r="T4" s="3048"/>
      <c r="U4" s="3048"/>
      <c r="V4" s="3048"/>
      <c r="W4" s="3048"/>
      <c r="X4" s="3048"/>
      <c r="Y4" s="3048"/>
      <c r="Z4" s="3048"/>
      <c r="AA4" s="3048"/>
      <c r="AB4" s="3048"/>
      <c r="AC4" s="3048"/>
      <c r="AD4" s="3048"/>
      <c r="AE4" s="3048"/>
      <c r="AF4" s="3048"/>
      <c r="AG4" s="3048"/>
      <c r="AH4" s="3048"/>
      <c r="AI4" s="3048"/>
      <c r="AJ4" s="3048"/>
      <c r="AK4" s="3048"/>
      <c r="AL4" s="3048"/>
      <c r="AM4" s="3048"/>
      <c r="AN4" s="3048"/>
      <c r="AO4" s="4443"/>
      <c r="AP4" s="1211" t="s">
        <v>7</v>
      </c>
      <c r="AQ4" s="1214" t="s">
        <v>8</v>
      </c>
    </row>
    <row r="5" spans="1:62" ht="21" customHeight="1" x14ac:dyDescent="0.2">
      <c r="A5" s="3049" t="s">
        <v>9</v>
      </c>
      <c r="B5" s="3050"/>
      <c r="C5" s="3050"/>
      <c r="D5" s="3050"/>
      <c r="E5" s="3050"/>
      <c r="F5" s="3050"/>
      <c r="G5" s="3050"/>
      <c r="H5" s="3050"/>
      <c r="I5" s="3050"/>
      <c r="J5" s="3050"/>
      <c r="K5" s="3050"/>
      <c r="L5" s="3050"/>
      <c r="M5" s="3050"/>
      <c r="N5" s="3670" t="s">
        <v>10</v>
      </c>
      <c r="O5" s="3671"/>
      <c r="P5" s="3671"/>
      <c r="Q5" s="3671"/>
      <c r="R5" s="3671"/>
      <c r="S5" s="3671"/>
      <c r="T5" s="3671"/>
      <c r="U5" s="3671"/>
      <c r="V5" s="3671"/>
      <c r="W5" s="3671"/>
      <c r="X5" s="3671"/>
      <c r="Y5" s="3671"/>
      <c r="Z5" s="3671"/>
      <c r="AA5" s="3671"/>
      <c r="AB5" s="3671"/>
      <c r="AC5" s="3671"/>
      <c r="AD5" s="3671"/>
      <c r="AE5" s="3671"/>
      <c r="AF5" s="3671"/>
      <c r="AG5" s="3671"/>
      <c r="AH5" s="3671"/>
      <c r="AI5" s="3671"/>
      <c r="AJ5" s="3671"/>
      <c r="AK5" s="3671"/>
      <c r="AL5" s="3671"/>
      <c r="AM5" s="3671"/>
      <c r="AN5" s="3671"/>
      <c r="AO5" s="3671"/>
      <c r="AP5" s="3671"/>
      <c r="AQ5" s="4444"/>
    </row>
    <row r="6" spans="1:62" ht="21" customHeight="1" x14ac:dyDescent="0.2">
      <c r="A6" s="3051"/>
      <c r="B6" s="3052"/>
      <c r="C6" s="3052"/>
      <c r="D6" s="3052"/>
      <c r="E6" s="3052"/>
      <c r="F6" s="3052"/>
      <c r="G6" s="3052"/>
      <c r="H6" s="3052"/>
      <c r="I6" s="3052"/>
      <c r="J6" s="3052"/>
      <c r="K6" s="3052"/>
      <c r="L6" s="3052"/>
      <c r="M6" s="3052"/>
      <c r="N6" s="3670"/>
      <c r="O6" s="3671"/>
      <c r="P6" s="3671"/>
      <c r="Q6" s="3671"/>
      <c r="R6" s="3671"/>
      <c r="S6" s="3671"/>
      <c r="T6" s="3671"/>
      <c r="U6" s="3671"/>
      <c r="V6" s="3671"/>
      <c r="W6" s="3671"/>
      <c r="X6" s="3672"/>
      <c r="Y6" s="1215"/>
      <c r="Z6" s="1215"/>
      <c r="AA6" s="1215"/>
      <c r="AB6" s="1215"/>
      <c r="AC6" s="1215"/>
      <c r="AD6" s="1215"/>
      <c r="AE6" s="1215"/>
      <c r="AF6" s="1215"/>
      <c r="AG6" s="1215"/>
      <c r="AH6" s="1215"/>
      <c r="AI6" s="1215"/>
      <c r="AJ6" s="1215"/>
      <c r="AK6" s="1215"/>
      <c r="AL6" s="1215"/>
      <c r="AM6" s="1215"/>
      <c r="AN6" s="1215"/>
      <c r="AO6" s="3670"/>
      <c r="AP6" s="3671"/>
      <c r="AQ6" s="4444"/>
    </row>
    <row r="7" spans="1:62" ht="37.5" customHeight="1" x14ac:dyDescent="0.2">
      <c r="A7" s="4445" t="s">
        <v>12</v>
      </c>
      <c r="B7" s="3040" t="s">
        <v>13</v>
      </c>
      <c r="C7" s="3040"/>
      <c r="D7" s="3040" t="s">
        <v>12</v>
      </c>
      <c r="E7" s="3040" t="s">
        <v>14</v>
      </c>
      <c r="F7" s="3040"/>
      <c r="G7" s="3040" t="s">
        <v>12</v>
      </c>
      <c r="H7" s="3040" t="s">
        <v>15</v>
      </c>
      <c r="I7" s="3040"/>
      <c r="J7" s="3040" t="s">
        <v>12</v>
      </c>
      <c r="K7" s="3040" t="s">
        <v>16</v>
      </c>
      <c r="L7" s="3040" t="s">
        <v>17</v>
      </c>
      <c r="M7" s="3392" t="s">
        <v>18</v>
      </c>
      <c r="N7" s="3040" t="s">
        <v>19</v>
      </c>
      <c r="O7" s="3041" t="s">
        <v>741</v>
      </c>
      <c r="P7" s="3040" t="s">
        <v>10</v>
      </c>
      <c r="Q7" s="3040" t="s">
        <v>21</v>
      </c>
      <c r="R7" s="3040" t="s">
        <v>22</v>
      </c>
      <c r="S7" s="3040" t="s">
        <v>23</v>
      </c>
      <c r="T7" s="3040" t="s">
        <v>24</v>
      </c>
      <c r="U7" s="3040" t="s">
        <v>25</v>
      </c>
      <c r="V7" s="4446" t="s">
        <v>22</v>
      </c>
      <c r="W7" s="3041" t="s">
        <v>12</v>
      </c>
      <c r="X7" s="3040" t="s">
        <v>26</v>
      </c>
      <c r="Y7" s="3683" t="s">
        <v>27</v>
      </c>
      <c r="Z7" s="3684"/>
      <c r="AA7" s="3676" t="s">
        <v>28</v>
      </c>
      <c r="AB7" s="3677"/>
      <c r="AC7" s="3677"/>
      <c r="AD7" s="3677"/>
      <c r="AE7" s="3674" t="s">
        <v>29</v>
      </c>
      <c r="AF7" s="3675"/>
      <c r="AG7" s="3675"/>
      <c r="AH7" s="3675"/>
      <c r="AI7" s="3675"/>
      <c r="AJ7" s="3675"/>
      <c r="AK7" s="3676" t="s">
        <v>30</v>
      </c>
      <c r="AL7" s="3677"/>
      <c r="AM7" s="3677"/>
      <c r="AN7" s="3678" t="s">
        <v>31</v>
      </c>
      <c r="AO7" s="3680" t="s">
        <v>32</v>
      </c>
      <c r="AP7" s="3680" t="s">
        <v>33</v>
      </c>
      <c r="AQ7" s="3063" t="s">
        <v>34</v>
      </c>
    </row>
    <row r="8" spans="1:62" ht="126" customHeight="1" x14ac:dyDescent="0.2">
      <c r="A8" s="4445"/>
      <c r="B8" s="3040"/>
      <c r="C8" s="3040"/>
      <c r="D8" s="3040"/>
      <c r="E8" s="3040"/>
      <c r="F8" s="3040"/>
      <c r="G8" s="3040"/>
      <c r="H8" s="3040"/>
      <c r="I8" s="3040"/>
      <c r="J8" s="3040"/>
      <c r="K8" s="3040"/>
      <c r="L8" s="3040"/>
      <c r="M8" s="3673"/>
      <c r="N8" s="3040"/>
      <c r="O8" s="3042"/>
      <c r="P8" s="3040"/>
      <c r="Q8" s="3040"/>
      <c r="R8" s="3040"/>
      <c r="S8" s="3040"/>
      <c r="T8" s="3040"/>
      <c r="U8" s="3040"/>
      <c r="V8" s="4447"/>
      <c r="W8" s="3042"/>
      <c r="X8" s="3040"/>
      <c r="Y8" s="1216" t="s">
        <v>35</v>
      </c>
      <c r="Z8" s="1217" t="s">
        <v>36</v>
      </c>
      <c r="AA8" s="1218" t="s">
        <v>37</v>
      </c>
      <c r="AB8" s="1216" t="s">
        <v>125</v>
      </c>
      <c r="AC8" s="1218" t="s">
        <v>126</v>
      </c>
      <c r="AD8" s="1216" t="s">
        <v>127</v>
      </c>
      <c r="AE8" s="1216" t="s">
        <v>41</v>
      </c>
      <c r="AF8" s="1216" t="s">
        <v>42</v>
      </c>
      <c r="AG8" s="1216" t="s">
        <v>43</v>
      </c>
      <c r="AH8" s="1216" t="s">
        <v>44</v>
      </c>
      <c r="AI8" s="1216" t="s">
        <v>45</v>
      </c>
      <c r="AJ8" s="1216" t="s">
        <v>46</v>
      </c>
      <c r="AK8" s="1216" t="s">
        <v>47</v>
      </c>
      <c r="AL8" s="1216" t="s">
        <v>48</v>
      </c>
      <c r="AM8" s="1216" t="s">
        <v>49</v>
      </c>
      <c r="AN8" s="3679"/>
      <c r="AO8" s="3681"/>
      <c r="AP8" s="3681"/>
      <c r="AQ8" s="3063"/>
    </row>
    <row r="9" spans="1:62" ht="20.25" customHeight="1" x14ac:dyDescent="0.2">
      <c r="A9" s="1219">
        <v>3</v>
      </c>
      <c r="B9" s="1220"/>
      <c r="C9" s="1220" t="s">
        <v>299</v>
      </c>
      <c r="D9" s="1220"/>
      <c r="E9" s="1220"/>
      <c r="F9" s="1220"/>
      <c r="G9" s="1220"/>
      <c r="H9" s="1220"/>
      <c r="I9" s="1220"/>
      <c r="J9" s="1220"/>
      <c r="K9" s="1221"/>
      <c r="L9" s="1220"/>
      <c r="M9" s="1220"/>
      <c r="N9" s="1220"/>
      <c r="O9" s="1222"/>
      <c r="P9" s="1221"/>
      <c r="Q9" s="1223"/>
      <c r="R9" s="1224"/>
      <c r="S9" s="1221"/>
      <c r="T9" s="1221"/>
      <c r="U9" s="1221"/>
      <c r="V9" s="1225"/>
      <c r="W9" s="1226"/>
      <c r="X9" s="1222"/>
      <c r="Y9" s="1220"/>
      <c r="Z9" s="1220"/>
      <c r="AA9" s="1220"/>
      <c r="AB9" s="1220"/>
      <c r="AC9" s="1220"/>
      <c r="AD9" s="1220"/>
      <c r="AE9" s="1220"/>
      <c r="AF9" s="1220"/>
      <c r="AG9" s="1220"/>
      <c r="AH9" s="1220"/>
      <c r="AI9" s="1220"/>
      <c r="AJ9" s="1220"/>
      <c r="AK9" s="1220"/>
      <c r="AL9" s="1220"/>
      <c r="AM9" s="1220"/>
      <c r="AN9" s="1220"/>
      <c r="AO9" s="1227"/>
      <c r="AP9" s="1227"/>
      <c r="AQ9" s="1228"/>
      <c r="AR9" s="1229"/>
      <c r="AS9" s="1229"/>
      <c r="AT9" s="1229"/>
      <c r="AU9" s="1229"/>
      <c r="AV9" s="1229"/>
      <c r="AW9" s="1229"/>
      <c r="AX9" s="1229"/>
      <c r="AY9" s="1229"/>
      <c r="AZ9" s="1229"/>
      <c r="BA9" s="1229"/>
      <c r="BB9" s="1229"/>
      <c r="BC9" s="1229"/>
      <c r="BD9" s="1229"/>
      <c r="BE9" s="1229"/>
      <c r="BF9" s="1229"/>
      <c r="BG9" s="1229"/>
      <c r="BH9" s="1229"/>
      <c r="BI9" s="1229"/>
      <c r="BJ9" s="1229"/>
    </row>
    <row r="10" spans="1:62" s="1229" customFormat="1" ht="20.25" customHeight="1" x14ac:dyDescent="0.2">
      <c r="A10" s="1230"/>
      <c r="B10" s="1231"/>
      <c r="C10" s="1232"/>
      <c r="D10" s="1233">
        <v>20</v>
      </c>
      <c r="E10" s="1234" t="s">
        <v>1039</v>
      </c>
      <c r="F10" s="1234"/>
      <c r="G10" s="1234"/>
      <c r="H10" s="1234"/>
      <c r="I10" s="1234"/>
      <c r="J10" s="1234"/>
      <c r="K10" s="1235"/>
      <c r="L10" s="1234"/>
      <c r="M10" s="1234"/>
      <c r="N10" s="1234"/>
      <c r="O10" s="1236"/>
      <c r="P10" s="1235"/>
      <c r="Q10" s="1237"/>
      <c r="R10" s="1238"/>
      <c r="S10" s="1235"/>
      <c r="T10" s="1235"/>
      <c r="U10" s="1235"/>
      <c r="V10" s="1239"/>
      <c r="W10" s="1240"/>
      <c r="X10" s="1236"/>
      <c r="Y10" s="1234"/>
      <c r="Z10" s="1234"/>
      <c r="AA10" s="1234"/>
      <c r="AB10" s="1234"/>
      <c r="AC10" s="1234"/>
      <c r="AD10" s="1234"/>
      <c r="AE10" s="1234"/>
      <c r="AF10" s="1234"/>
      <c r="AG10" s="1234"/>
      <c r="AH10" s="1234"/>
      <c r="AI10" s="1234"/>
      <c r="AJ10" s="1234"/>
      <c r="AK10" s="1234"/>
      <c r="AL10" s="1234"/>
      <c r="AM10" s="1234"/>
      <c r="AN10" s="1234"/>
      <c r="AO10" s="1241"/>
      <c r="AP10" s="1241"/>
      <c r="AQ10" s="1242"/>
    </row>
    <row r="11" spans="1:62" s="1229" customFormat="1" ht="20.25" customHeight="1" x14ac:dyDescent="0.2">
      <c r="A11" s="1243"/>
      <c r="B11" s="1244"/>
      <c r="C11" s="1245"/>
      <c r="D11" s="1246"/>
      <c r="E11" s="1247"/>
      <c r="F11" s="1247"/>
      <c r="G11" s="1248">
        <v>68</v>
      </c>
      <c r="H11" s="1249" t="s">
        <v>1040</v>
      </c>
      <c r="I11" s="1249"/>
      <c r="J11" s="1249"/>
      <c r="K11" s="1250"/>
      <c r="L11" s="1249"/>
      <c r="M11" s="1249"/>
      <c r="N11" s="1249"/>
      <c r="O11" s="1251"/>
      <c r="P11" s="1250"/>
      <c r="Q11" s="1252"/>
      <c r="R11" s="1253"/>
      <c r="S11" s="1250"/>
      <c r="T11" s="1250"/>
      <c r="U11" s="1250"/>
      <c r="V11" s="1254"/>
      <c r="W11" s="1255"/>
      <c r="X11" s="1251"/>
      <c r="Y11" s="1249"/>
      <c r="Z11" s="1249"/>
      <c r="AA11" s="1249"/>
      <c r="AB11" s="1249"/>
      <c r="AC11" s="1249"/>
      <c r="AD11" s="1249"/>
      <c r="AE11" s="1249"/>
      <c r="AF11" s="1249"/>
      <c r="AG11" s="1249"/>
      <c r="AH11" s="1249"/>
      <c r="AI11" s="1249"/>
      <c r="AJ11" s="1249"/>
      <c r="AK11" s="1249"/>
      <c r="AL11" s="1249"/>
      <c r="AM11" s="1249"/>
      <c r="AN11" s="1249"/>
      <c r="AO11" s="1256"/>
      <c r="AP11" s="1256"/>
      <c r="AQ11" s="1257"/>
    </row>
    <row r="12" spans="1:62" s="1229" customFormat="1" ht="46.5" customHeight="1" x14ac:dyDescent="0.2">
      <c r="A12" s="1243"/>
      <c r="B12" s="1244"/>
      <c r="C12" s="1245"/>
      <c r="D12" s="1258"/>
      <c r="E12" s="1259"/>
      <c r="F12" s="1259"/>
      <c r="G12" s="1260"/>
      <c r="H12" s="1259"/>
      <c r="I12" s="1259"/>
      <c r="J12" s="3556">
        <v>202</v>
      </c>
      <c r="K12" s="3589" t="s">
        <v>1041</v>
      </c>
      <c r="L12" s="3589" t="s">
        <v>1042</v>
      </c>
      <c r="M12" s="3556">
        <v>23</v>
      </c>
      <c r="N12" s="208" t="s">
        <v>1043</v>
      </c>
      <c r="O12" s="3557" t="s">
        <v>1044</v>
      </c>
      <c r="P12" s="3097" t="s">
        <v>1045</v>
      </c>
      <c r="Q12" s="1261">
        <f>+V12/R12</f>
        <v>0.23164081179376106</v>
      </c>
      <c r="R12" s="3136">
        <f>SUM(V12:V16)</f>
        <v>860166995</v>
      </c>
      <c r="S12" s="3097" t="s">
        <v>1046</v>
      </c>
      <c r="T12" s="4450" t="s">
        <v>1047</v>
      </c>
      <c r="U12" s="3557" t="s">
        <v>1048</v>
      </c>
      <c r="V12" s="1262">
        <v>199249781</v>
      </c>
      <c r="W12" s="213">
        <v>12</v>
      </c>
      <c r="X12" s="1263" t="s">
        <v>1049</v>
      </c>
      <c r="Y12" s="3559">
        <v>300</v>
      </c>
      <c r="Z12" s="3559">
        <v>710</v>
      </c>
      <c r="AA12" s="3559">
        <v>317</v>
      </c>
      <c r="AB12" s="3559">
        <v>633</v>
      </c>
      <c r="AC12" s="3559"/>
      <c r="AD12" s="3559"/>
      <c r="AE12" s="3559"/>
      <c r="AF12" s="3559"/>
      <c r="AG12" s="3559"/>
      <c r="AH12" s="3559"/>
      <c r="AI12" s="3559"/>
      <c r="AJ12" s="3559"/>
      <c r="AK12" s="3559"/>
      <c r="AL12" s="3559">
        <v>60</v>
      </c>
      <c r="AM12" s="4449"/>
      <c r="AN12" s="3559">
        <f>+Y12+Z12</f>
        <v>1010</v>
      </c>
      <c r="AO12" s="3596">
        <v>43480</v>
      </c>
      <c r="AP12" s="3596">
        <v>43830</v>
      </c>
      <c r="AQ12" s="4450" t="s">
        <v>1050</v>
      </c>
    </row>
    <row r="13" spans="1:62" s="1229" customFormat="1" ht="37.5" customHeight="1" x14ac:dyDescent="0.2">
      <c r="A13" s="1243"/>
      <c r="B13" s="1244"/>
      <c r="C13" s="1245"/>
      <c r="D13" s="1258"/>
      <c r="E13" s="1259"/>
      <c r="F13" s="1259"/>
      <c r="G13" s="1258"/>
      <c r="H13" s="1259"/>
      <c r="I13" s="1259"/>
      <c r="J13" s="3556"/>
      <c r="K13" s="3589"/>
      <c r="L13" s="3589"/>
      <c r="M13" s="3556"/>
      <c r="N13" s="208" t="s">
        <v>1051</v>
      </c>
      <c r="O13" s="3613"/>
      <c r="P13" s="3560"/>
      <c r="Q13" s="1261">
        <f>+V13/R12</f>
        <v>2.3251299010839169E-2</v>
      </c>
      <c r="R13" s="3137"/>
      <c r="S13" s="3560"/>
      <c r="T13" s="4451"/>
      <c r="U13" s="3578"/>
      <c r="V13" s="1262">
        <v>20000000</v>
      </c>
      <c r="W13" s="213">
        <v>9</v>
      </c>
      <c r="X13" s="1263" t="s">
        <v>1052</v>
      </c>
      <c r="Y13" s="4448"/>
      <c r="Z13" s="4448"/>
      <c r="AA13" s="4448"/>
      <c r="AB13" s="4448"/>
      <c r="AC13" s="4448"/>
      <c r="AD13" s="4448"/>
      <c r="AE13" s="4448"/>
      <c r="AF13" s="4448"/>
      <c r="AG13" s="4448"/>
      <c r="AH13" s="4448"/>
      <c r="AI13" s="4448"/>
      <c r="AJ13" s="4448"/>
      <c r="AK13" s="4448"/>
      <c r="AL13" s="4448"/>
      <c r="AM13" s="4449"/>
      <c r="AN13" s="4448"/>
      <c r="AO13" s="3617"/>
      <c r="AP13" s="3617"/>
      <c r="AQ13" s="4451"/>
    </row>
    <row r="14" spans="1:62" s="1229" customFormat="1" ht="38.25" customHeight="1" x14ac:dyDescent="0.2">
      <c r="A14" s="1243"/>
      <c r="B14" s="1244"/>
      <c r="C14" s="1245"/>
      <c r="D14" s="1258"/>
      <c r="E14" s="3119"/>
      <c r="F14" s="3119"/>
      <c r="G14" s="1258"/>
      <c r="H14" s="1244"/>
      <c r="I14" s="1244"/>
      <c r="J14" s="3556"/>
      <c r="K14" s="3589"/>
      <c r="L14" s="3589"/>
      <c r="M14" s="3556"/>
      <c r="N14" s="1264" t="s">
        <v>1053</v>
      </c>
      <c r="O14" s="3613"/>
      <c r="P14" s="3560"/>
      <c r="Q14" s="1261">
        <f>+V14/R12</f>
        <v>9.1344422021214608E-2</v>
      </c>
      <c r="R14" s="3137"/>
      <c r="S14" s="3560"/>
      <c r="T14" s="4451"/>
      <c r="U14" s="3097" t="s">
        <v>1054</v>
      </c>
      <c r="V14" s="1265">
        <v>78571457</v>
      </c>
      <c r="W14" s="213">
        <v>3</v>
      </c>
      <c r="X14" s="1266" t="s">
        <v>1055</v>
      </c>
      <c r="Y14" s="4448"/>
      <c r="Z14" s="4448"/>
      <c r="AA14" s="4448"/>
      <c r="AB14" s="4448"/>
      <c r="AC14" s="4448"/>
      <c r="AD14" s="4448"/>
      <c r="AE14" s="4448"/>
      <c r="AF14" s="4448"/>
      <c r="AG14" s="4448"/>
      <c r="AH14" s="4448"/>
      <c r="AI14" s="4448"/>
      <c r="AJ14" s="4448"/>
      <c r="AK14" s="4448"/>
      <c r="AL14" s="4448"/>
      <c r="AM14" s="4449"/>
      <c r="AN14" s="4448"/>
      <c r="AO14" s="3617"/>
      <c r="AP14" s="3617"/>
      <c r="AQ14" s="4451"/>
    </row>
    <row r="15" spans="1:62" s="1229" customFormat="1" ht="36" customHeight="1" x14ac:dyDescent="0.2">
      <c r="A15" s="1243"/>
      <c r="B15" s="1244"/>
      <c r="C15" s="1245"/>
      <c r="D15" s="1258"/>
      <c r="E15" s="1259"/>
      <c r="F15" s="1259"/>
      <c r="G15" s="1258"/>
      <c r="H15" s="1259"/>
      <c r="I15" s="1259"/>
      <c r="J15" s="3556"/>
      <c r="K15" s="3589"/>
      <c r="L15" s="3589"/>
      <c r="M15" s="3556"/>
      <c r="N15" s="208" t="s">
        <v>1056</v>
      </c>
      <c r="O15" s="3613"/>
      <c r="P15" s="3560"/>
      <c r="Q15" s="1261">
        <f>+V15/R12</f>
        <v>0.4319796959891492</v>
      </c>
      <c r="R15" s="3137"/>
      <c r="S15" s="3560"/>
      <c r="T15" s="4451"/>
      <c r="U15" s="3098"/>
      <c r="V15" s="1267">
        <v>371574677</v>
      </c>
      <c r="W15" s="213">
        <v>4</v>
      </c>
      <c r="X15" s="1268" t="s">
        <v>1057</v>
      </c>
      <c r="Y15" s="4448"/>
      <c r="Z15" s="4448"/>
      <c r="AA15" s="4448"/>
      <c r="AB15" s="4448"/>
      <c r="AC15" s="4448"/>
      <c r="AD15" s="4448"/>
      <c r="AE15" s="4448"/>
      <c r="AF15" s="4448"/>
      <c r="AG15" s="4448"/>
      <c r="AH15" s="4448"/>
      <c r="AI15" s="4448"/>
      <c r="AJ15" s="4448"/>
      <c r="AK15" s="4448"/>
      <c r="AL15" s="4448"/>
      <c r="AM15" s="4449"/>
      <c r="AN15" s="4448"/>
      <c r="AO15" s="3617"/>
      <c r="AP15" s="3617"/>
      <c r="AQ15" s="4451"/>
    </row>
    <row r="16" spans="1:62" s="1229" customFormat="1" ht="137.25" customHeight="1" x14ac:dyDescent="0.2">
      <c r="A16" s="1243"/>
      <c r="B16" s="1244"/>
      <c r="C16" s="1245"/>
      <c r="D16" s="1258"/>
      <c r="E16" s="1259"/>
      <c r="F16" s="1259"/>
      <c r="G16" s="1258"/>
      <c r="H16" s="1259"/>
      <c r="I16" s="1259"/>
      <c r="J16" s="208">
        <v>203</v>
      </c>
      <c r="K16" s="209" t="s">
        <v>1058</v>
      </c>
      <c r="L16" s="209" t="s">
        <v>1059</v>
      </c>
      <c r="M16" s="208">
        <v>20</v>
      </c>
      <c r="N16" s="208" t="s">
        <v>1060</v>
      </c>
      <c r="O16" s="3578"/>
      <c r="P16" s="3098"/>
      <c r="Q16" s="1261">
        <f>+V16/R12</f>
        <v>0.221783771185036</v>
      </c>
      <c r="R16" s="3138"/>
      <c r="S16" s="3098"/>
      <c r="T16" s="4452"/>
      <c r="U16" s="212" t="s">
        <v>1061</v>
      </c>
      <c r="V16" s="1269">
        <v>190771080</v>
      </c>
      <c r="W16" s="213">
        <v>4</v>
      </c>
      <c r="X16" s="1268" t="s">
        <v>1057</v>
      </c>
      <c r="Y16" s="3599"/>
      <c r="Z16" s="3599"/>
      <c r="AA16" s="3599"/>
      <c r="AB16" s="3599"/>
      <c r="AC16" s="3599"/>
      <c r="AD16" s="3599"/>
      <c r="AE16" s="3599"/>
      <c r="AF16" s="3599"/>
      <c r="AG16" s="3599"/>
      <c r="AH16" s="3599"/>
      <c r="AI16" s="3599"/>
      <c r="AJ16" s="3599"/>
      <c r="AK16" s="3599"/>
      <c r="AL16" s="3599"/>
      <c r="AM16" s="4449"/>
      <c r="AN16" s="3599"/>
      <c r="AO16" s="3618"/>
      <c r="AP16" s="3618"/>
      <c r="AQ16" s="4452"/>
    </row>
    <row r="17" spans="1:43" s="1229" customFormat="1" ht="23.25" customHeight="1" x14ac:dyDescent="0.2">
      <c r="A17" s="1243"/>
      <c r="B17" s="1244"/>
      <c r="C17" s="1245"/>
      <c r="D17" s="1258"/>
      <c r="E17" s="1259"/>
      <c r="F17" s="1259"/>
      <c r="G17" s="1248">
        <v>69</v>
      </c>
      <c r="H17" s="1249" t="s">
        <v>1062</v>
      </c>
      <c r="I17" s="1249"/>
      <c r="J17" s="1249"/>
      <c r="K17" s="1250"/>
      <c r="L17" s="1249"/>
      <c r="M17" s="1249"/>
      <c r="N17" s="1249"/>
      <c r="O17" s="1251"/>
      <c r="P17" s="1250"/>
      <c r="Q17" s="1252"/>
      <c r="R17" s="1270"/>
      <c r="S17" s="1250" t="s">
        <v>780</v>
      </c>
      <c r="T17" s="1250" t="s">
        <v>780</v>
      </c>
      <c r="U17" s="1250"/>
      <c r="V17" s="1271">
        <f>+SUM(V12:V16)</f>
        <v>860166995</v>
      </c>
      <c r="W17" s="1255"/>
      <c r="X17" s="1251"/>
      <c r="Y17" s="1272"/>
      <c r="Z17" s="1272"/>
      <c r="AA17" s="1272"/>
      <c r="AB17" s="1272"/>
      <c r="AC17" s="1272"/>
      <c r="AD17" s="1272"/>
      <c r="AE17" s="1272"/>
      <c r="AF17" s="1272"/>
      <c r="AG17" s="1272"/>
      <c r="AH17" s="1272"/>
      <c r="AI17" s="1272"/>
      <c r="AJ17" s="1272"/>
      <c r="AK17" s="1272"/>
      <c r="AL17" s="1272"/>
      <c r="AM17" s="1272"/>
      <c r="AN17" s="1272"/>
      <c r="AO17" s="1256"/>
      <c r="AP17" s="1256"/>
      <c r="AQ17" s="1273"/>
    </row>
    <row r="18" spans="1:43" s="1229" customFormat="1" ht="69" customHeight="1" x14ac:dyDescent="0.2">
      <c r="A18" s="1243"/>
      <c r="B18" s="1244"/>
      <c r="C18" s="1245"/>
      <c r="D18" s="1258"/>
      <c r="E18" s="1259"/>
      <c r="F18" s="1259"/>
      <c r="G18" s="1258"/>
      <c r="H18" s="1259"/>
      <c r="I18" s="1259"/>
      <c r="J18" s="3556">
        <v>204</v>
      </c>
      <c r="K18" s="3589" t="s">
        <v>1063</v>
      </c>
      <c r="L18" s="3116" t="s">
        <v>1064</v>
      </c>
      <c r="M18" s="3557">
        <v>13</v>
      </c>
      <c r="N18" s="208" t="s">
        <v>1065</v>
      </c>
      <c r="O18" s="3557" t="s">
        <v>1044</v>
      </c>
      <c r="P18" s="3097" t="s">
        <v>1045</v>
      </c>
      <c r="Q18" s="1261">
        <f>+V18/R18</f>
        <v>0.64747356051703875</v>
      </c>
      <c r="R18" s="3136">
        <f>SUM(V18:V19)</f>
        <v>170200000</v>
      </c>
      <c r="S18" s="3097" t="s">
        <v>1046</v>
      </c>
      <c r="T18" s="3097" t="s">
        <v>1047</v>
      </c>
      <c r="U18" s="3097" t="s">
        <v>1066</v>
      </c>
      <c r="V18" s="1262">
        <v>110200000</v>
      </c>
      <c r="W18" s="213">
        <v>4</v>
      </c>
      <c r="X18" s="1263" t="s">
        <v>1057</v>
      </c>
      <c r="Y18" s="3559"/>
      <c r="Z18" s="3559"/>
      <c r="AA18" s="3559"/>
      <c r="AB18" s="3559"/>
      <c r="AC18" s="3559"/>
      <c r="AD18" s="3559"/>
      <c r="AE18" s="3559"/>
      <c r="AF18" s="3559"/>
      <c r="AG18" s="3559"/>
      <c r="AH18" s="3559"/>
      <c r="AI18" s="3559"/>
      <c r="AJ18" s="3559"/>
      <c r="AK18" s="3559"/>
      <c r="AL18" s="3559"/>
      <c r="AM18" s="3559"/>
      <c r="AN18" s="3559"/>
      <c r="AO18" s="3596">
        <v>43480</v>
      </c>
      <c r="AP18" s="3596">
        <f>+AP12</f>
        <v>43830</v>
      </c>
      <c r="AQ18" s="4450" t="s">
        <v>1050</v>
      </c>
    </row>
    <row r="19" spans="1:43" s="1229" customFormat="1" ht="51.75" customHeight="1" x14ac:dyDescent="0.2">
      <c r="A19" s="1243"/>
      <c r="B19" s="1244"/>
      <c r="C19" s="1245"/>
      <c r="D19" s="1258"/>
      <c r="E19" s="1259"/>
      <c r="F19" s="1259"/>
      <c r="G19" s="1258"/>
      <c r="H19" s="1259"/>
      <c r="I19" s="1259"/>
      <c r="J19" s="3556"/>
      <c r="K19" s="3589"/>
      <c r="L19" s="3116"/>
      <c r="M19" s="3578"/>
      <c r="N19" s="208" t="s">
        <v>1067</v>
      </c>
      <c r="O19" s="3578"/>
      <c r="P19" s="3098"/>
      <c r="Q19" s="1261">
        <f>+V19/R18</f>
        <v>0.3525264394829612</v>
      </c>
      <c r="R19" s="3138"/>
      <c r="S19" s="3098"/>
      <c r="T19" s="3098" t="s">
        <v>780</v>
      </c>
      <c r="U19" s="3098"/>
      <c r="V19" s="1262">
        <v>60000000</v>
      </c>
      <c r="W19" s="213">
        <v>12</v>
      </c>
      <c r="X19" s="1263" t="s">
        <v>1049</v>
      </c>
      <c r="Y19" s="3599"/>
      <c r="Z19" s="3599"/>
      <c r="AA19" s="3599"/>
      <c r="AB19" s="3599"/>
      <c r="AC19" s="3599"/>
      <c r="AD19" s="3599"/>
      <c r="AE19" s="3599"/>
      <c r="AF19" s="3599"/>
      <c r="AG19" s="3599"/>
      <c r="AH19" s="3599"/>
      <c r="AI19" s="3599"/>
      <c r="AJ19" s="3599"/>
      <c r="AK19" s="3599"/>
      <c r="AL19" s="3599"/>
      <c r="AM19" s="3599"/>
      <c r="AN19" s="3599"/>
      <c r="AO19" s="3617"/>
      <c r="AP19" s="3617"/>
      <c r="AQ19" s="4451"/>
    </row>
    <row r="20" spans="1:43" s="1229" customFormat="1" ht="23.25" customHeight="1" x14ac:dyDescent="0.2">
      <c r="A20" s="1243"/>
      <c r="B20" s="1244"/>
      <c r="C20" s="1245"/>
      <c r="D20" s="1258"/>
      <c r="E20" s="1259"/>
      <c r="F20" s="1259"/>
      <c r="G20" s="1248">
        <v>70</v>
      </c>
      <c r="H20" s="1249" t="s">
        <v>1068</v>
      </c>
      <c r="I20" s="1249"/>
      <c r="J20" s="1249"/>
      <c r="K20" s="1250"/>
      <c r="L20" s="1249"/>
      <c r="M20" s="1249"/>
      <c r="N20" s="1249"/>
      <c r="O20" s="1251"/>
      <c r="P20" s="1250"/>
      <c r="Q20" s="1252"/>
      <c r="R20" s="1270"/>
      <c r="S20" s="1250" t="s">
        <v>780</v>
      </c>
      <c r="T20" s="1250" t="s">
        <v>780</v>
      </c>
      <c r="U20" s="1250"/>
      <c r="V20" s="1271">
        <f>+SUM(V18:V19)</f>
        <v>170200000</v>
      </c>
      <c r="W20" s="1255"/>
      <c r="X20" s="1251"/>
      <c r="Y20" s="1272"/>
      <c r="Z20" s="1272"/>
      <c r="AA20" s="1272"/>
      <c r="AB20" s="1272"/>
      <c r="AC20" s="1272"/>
      <c r="AD20" s="1272"/>
      <c r="AE20" s="1272"/>
      <c r="AF20" s="1272"/>
      <c r="AG20" s="1272"/>
      <c r="AH20" s="1272"/>
      <c r="AI20" s="1272"/>
      <c r="AJ20" s="1272"/>
      <c r="AK20" s="1272"/>
      <c r="AL20" s="1272"/>
      <c r="AM20" s="1272"/>
      <c r="AN20" s="1272"/>
      <c r="AO20" s="1256"/>
      <c r="AP20" s="1256"/>
      <c r="AQ20" s="1273"/>
    </row>
    <row r="21" spans="1:43" s="1229" customFormat="1" ht="42.75" customHeight="1" x14ac:dyDescent="0.2">
      <c r="A21" s="1243"/>
      <c r="B21" s="1244"/>
      <c r="C21" s="1245"/>
      <c r="D21" s="1258"/>
      <c r="E21" s="1259"/>
      <c r="F21" s="1259"/>
      <c r="G21" s="1258"/>
      <c r="H21" s="1259"/>
      <c r="I21" s="1259"/>
      <c r="J21" s="3556">
        <v>205</v>
      </c>
      <c r="K21" s="3589" t="s">
        <v>1069</v>
      </c>
      <c r="L21" s="4453" t="s">
        <v>1070</v>
      </c>
      <c r="M21" s="3556">
        <v>1</v>
      </c>
      <c r="N21" s="208" t="s">
        <v>1071</v>
      </c>
      <c r="O21" s="3556" t="s">
        <v>1072</v>
      </c>
      <c r="P21" s="3589" t="s">
        <v>1073</v>
      </c>
      <c r="Q21" s="1261">
        <f>+V21/R21</f>
        <v>0.375</v>
      </c>
      <c r="R21" s="3563">
        <f>+SUM(V21:V23)</f>
        <v>320000000</v>
      </c>
      <c r="S21" s="3097" t="s">
        <v>1074</v>
      </c>
      <c r="T21" s="3097" t="s">
        <v>1075</v>
      </c>
      <c r="U21" s="3097" t="s">
        <v>1076</v>
      </c>
      <c r="V21" s="1262">
        <v>120000000</v>
      </c>
      <c r="W21" s="213">
        <v>12</v>
      </c>
      <c r="X21" s="1263" t="s">
        <v>1049</v>
      </c>
      <c r="Y21" s="3558">
        <v>6000</v>
      </c>
      <c r="Z21" s="3558">
        <v>9000</v>
      </c>
      <c r="AA21" s="3558">
        <v>10500</v>
      </c>
      <c r="AB21" s="3558">
        <v>4500</v>
      </c>
      <c r="AC21" s="3558"/>
      <c r="AD21" s="3558"/>
      <c r="AE21" s="3558">
        <v>22</v>
      </c>
      <c r="AF21" s="3558">
        <v>115</v>
      </c>
      <c r="AG21" s="3558">
        <v>1</v>
      </c>
      <c r="AH21" s="3558"/>
      <c r="AI21" s="3558"/>
      <c r="AJ21" s="3558"/>
      <c r="AK21" s="3558"/>
      <c r="AL21" s="3558">
        <v>59</v>
      </c>
      <c r="AM21" s="4454"/>
      <c r="AN21" s="3558">
        <f>+Y21+Z21</f>
        <v>15000</v>
      </c>
      <c r="AO21" s="3595">
        <v>43480</v>
      </c>
      <c r="AP21" s="3595">
        <v>43830</v>
      </c>
      <c r="AQ21" s="4457" t="s">
        <v>1050</v>
      </c>
    </row>
    <row r="22" spans="1:43" s="1229" customFormat="1" ht="38.25" customHeight="1" x14ac:dyDescent="0.2">
      <c r="A22" s="1243"/>
      <c r="B22" s="1244"/>
      <c r="C22" s="1245"/>
      <c r="D22" s="1258"/>
      <c r="E22" s="1259"/>
      <c r="F22" s="1259"/>
      <c r="G22" s="1258"/>
      <c r="H22" s="1259"/>
      <c r="I22" s="1259"/>
      <c r="J22" s="3556"/>
      <c r="K22" s="3589"/>
      <c r="L22" s="4453"/>
      <c r="M22" s="3556"/>
      <c r="N22" s="208" t="s">
        <v>1077</v>
      </c>
      <c r="O22" s="3556"/>
      <c r="P22" s="3589"/>
      <c r="Q22" s="1261">
        <f>+V22/R21</f>
        <v>0.3125</v>
      </c>
      <c r="R22" s="3563"/>
      <c r="S22" s="3560"/>
      <c r="T22" s="3560" t="s">
        <v>780</v>
      </c>
      <c r="U22" s="3560"/>
      <c r="V22" s="1262">
        <v>100000000</v>
      </c>
      <c r="W22" s="213">
        <v>4</v>
      </c>
      <c r="X22" s="1263" t="s">
        <v>1057</v>
      </c>
      <c r="Y22" s="3558"/>
      <c r="Z22" s="3558"/>
      <c r="AA22" s="3558"/>
      <c r="AB22" s="3558"/>
      <c r="AC22" s="3558"/>
      <c r="AD22" s="3558"/>
      <c r="AE22" s="3558"/>
      <c r="AF22" s="3558"/>
      <c r="AG22" s="3558"/>
      <c r="AH22" s="3558"/>
      <c r="AI22" s="3558"/>
      <c r="AJ22" s="3558"/>
      <c r="AK22" s="3558"/>
      <c r="AL22" s="3558"/>
      <c r="AM22" s="4455"/>
      <c r="AN22" s="3558"/>
      <c r="AO22" s="3595"/>
      <c r="AP22" s="3595"/>
      <c r="AQ22" s="4457"/>
    </row>
    <row r="23" spans="1:43" s="1229" customFormat="1" ht="38.25" customHeight="1" x14ac:dyDescent="0.2">
      <c r="A23" s="1243"/>
      <c r="B23" s="1244"/>
      <c r="C23" s="1245"/>
      <c r="D23" s="1258"/>
      <c r="E23" s="1259"/>
      <c r="F23" s="1259"/>
      <c r="G23" s="1258"/>
      <c r="H23" s="1259"/>
      <c r="I23" s="1259"/>
      <c r="J23" s="3556"/>
      <c r="K23" s="3589"/>
      <c r="L23" s="4453"/>
      <c r="M23" s="3556"/>
      <c r="N23" s="208" t="s">
        <v>1078</v>
      </c>
      <c r="O23" s="3556"/>
      <c r="P23" s="3589"/>
      <c r="Q23" s="1261">
        <f>+V23/R21</f>
        <v>0.3125</v>
      </c>
      <c r="R23" s="3563"/>
      <c r="S23" s="3560"/>
      <c r="T23" s="3560"/>
      <c r="U23" s="3560"/>
      <c r="V23" s="1262">
        <v>100000000</v>
      </c>
      <c r="W23" s="213">
        <v>7</v>
      </c>
      <c r="X23" s="1263" t="s">
        <v>1079</v>
      </c>
      <c r="Y23" s="3558"/>
      <c r="Z23" s="3558"/>
      <c r="AA23" s="3558"/>
      <c r="AB23" s="3558"/>
      <c r="AC23" s="3558"/>
      <c r="AD23" s="3558"/>
      <c r="AE23" s="3558"/>
      <c r="AF23" s="3558"/>
      <c r="AG23" s="3558"/>
      <c r="AH23" s="3558"/>
      <c r="AI23" s="3558"/>
      <c r="AJ23" s="3558"/>
      <c r="AK23" s="3558"/>
      <c r="AL23" s="3558"/>
      <c r="AM23" s="4456"/>
      <c r="AN23" s="3558"/>
      <c r="AO23" s="3595"/>
      <c r="AP23" s="3595"/>
      <c r="AQ23" s="4457"/>
    </row>
    <row r="24" spans="1:43" s="1229" customFormat="1" ht="23.25" customHeight="1" x14ac:dyDescent="0.2">
      <c r="A24" s="1243"/>
      <c r="B24" s="1244"/>
      <c r="C24" s="1245"/>
      <c r="D24" s="1258"/>
      <c r="E24" s="1259"/>
      <c r="F24" s="1259"/>
      <c r="G24" s="1248">
        <v>71</v>
      </c>
      <c r="H24" s="1249" t="s">
        <v>1080</v>
      </c>
      <c r="I24" s="1249"/>
      <c r="J24" s="1249"/>
      <c r="K24" s="1250"/>
      <c r="L24" s="1249"/>
      <c r="M24" s="1249"/>
      <c r="N24" s="1249"/>
      <c r="O24" s="1251"/>
      <c r="P24" s="1250"/>
      <c r="Q24" s="1252"/>
      <c r="R24" s="1270"/>
      <c r="S24" s="1250" t="s">
        <v>780</v>
      </c>
      <c r="T24" s="1250" t="s">
        <v>780</v>
      </c>
      <c r="U24" s="1250"/>
      <c r="V24" s="1271">
        <f>+SUM(V21:V23)</f>
        <v>320000000</v>
      </c>
      <c r="W24" s="1255"/>
      <c r="X24" s="1251"/>
      <c r="Y24" s="1272"/>
      <c r="Z24" s="1272"/>
      <c r="AA24" s="1272"/>
      <c r="AB24" s="1272"/>
      <c r="AC24" s="1272"/>
      <c r="AD24" s="1272"/>
      <c r="AE24" s="1272"/>
      <c r="AF24" s="1272"/>
      <c r="AG24" s="1272"/>
      <c r="AH24" s="1272"/>
      <c r="AI24" s="1272"/>
      <c r="AJ24" s="1272"/>
      <c r="AK24" s="1272"/>
      <c r="AL24" s="1272"/>
      <c r="AM24" s="1272"/>
      <c r="AN24" s="1272"/>
      <c r="AO24" s="1256"/>
      <c r="AP24" s="1256"/>
      <c r="AQ24" s="1273"/>
    </row>
    <row r="25" spans="1:43" s="1229" customFormat="1" ht="91.5" customHeight="1" x14ac:dyDescent="0.2">
      <c r="A25" s="1243"/>
      <c r="B25" s="1244"/>
      <c r="C25" s="1245"/>
      <c r="D25" s="1258"/>
      <c r="E25" s="1259"/>
      <c r="F25" s="1259"/>
      <c r="G25" s="1258"/>
      <c r="H25" s="1259"/>
      <c r="I25" s="1259"/>
      <c r="J25" s="215">
        <v>206</v>
      </c>
      <c r="K25" s="200" t="s">
        <v>1081</v>
      </c>
      <c r="L25" s="1274" t="s">
        <v>1082</v>
      </c>
      <c r="M25" s="215">
        <v>12</v>
      </c>
      <c r="N25" s="208" t="s">
        <v>1083</v>
      </c>
      <c r="O25" s="3557" t="s">
        <v>1084</v>
      </c>
      <c r="P25" s="3097" t="s">
        <v>1085</v>
      </c>
      <c r="Q25" s="1261">
        <f>+V25/R25</f>
        <v>0.28947368421052633</v>
      </c>
      <c r="R25" s="3563">
        <f>SUM(V25:V28)</f>
        <v>190000000</v>
      </c>
      <c r="S25" s="3097" t="s">
        <v>1086</v>
      </c>
      <c r="T25" s="3097" t="s">
        <v>1087</v>
      </c>
      <c r="U25" s="216" t="s">
        <v>1088</v>
      </c>
      <c r="V25" s="1267">
        <v>55000000</v>
      </c>
      <c r="W25" s="206">
        <v>12</v>
      </c>
      <c r="X25" s="1268" t="s">
        <v>1049</v>
      </c>
      <c r="Y25" s="3559">
        <v>900</v>
      </c>
      <c r="Z25" s="3559">
        <v>300</v>
      </c>
      <c r="AA25" s="3559">
        <v>372</v>
      </c>
      <c r="AB25" s="3559">
        <v>94</v>
      </c>
      <c r="AC25" s="3559">
        <v>734</v>
      </c>
      <c r="AD25" s="3559"/>
      <c r="AE25" s="3559"/>
      <c r="AF25" s="3559"/>
      <c r="AG25" s="3559"/>
      <c r="AH25" s="3559"/>
      <c r="AI25" s="3559"/>
      <c r="AJ25" s="3559"/>
      <c r="AK25" s="3559"/>
      <c r="AL25" s="3559"/>
      <c r="AM25" s="4454"/>
      <c r="AN25" s="3559">
        <f>+Y25+Z25</f>
        <v>1200</v>
      </c>
      <c r="AO25" s="3596">
        <v>43480</v>
      </c>
      <c r="AP25" s="3596">
        <v>43830</v>
      </c>
      <c r="AQ25" s="4458" t="s">
        <v>1050</v>
      </c>
    </row>
    <row r="26" spans="1:43" s="1229" customFormat="1" ht="64.5" customHeight="1" x14ac:dyDescent="0.2">
      <c r="A26" s="1243"/>
      <c r="B26" s="1244"/>
      <c r="C26" s="1245"/>
      <c r="D26" s="1258"/>
      <c r="E26" s="1259"/>
      <c r="F26" s="1259"/>
      <c r="G26" s="1258"/>
      <c r="H26" s="1259"/>
      <c r="I26" s="1259"/>
      <c r="J26" s="215">
        <v>207</v>
      </c>
      <c r="K26" s="200" t="s">
        <v>1089</v>
      </c>
      <c r="L26" s="1274" t="s">
        <v>1090</v>
      </c>
      <c r="M26" s="215">
        <v>1</v>
      </c>
      <c r="N26" s="208" t="s">
        <v>1091</v>
      </c>
      <c r="O26" s="3613"/>
      <c r="P26" s="3560"/>
      <c r="Q26" s="1261">
        <f>+V26/R25</f>
        <v>0.42105263157894735</v>
      </c>
      <c r="R26" s="3563"/>
      <c r="S26" s="3560"/>
      <c r="T26" s="3560" t="s">
        <v>780</v>
      </c>
      <c r="U26" s="216" t="s">
        <v>1092</v>
      </c>
      <c r="V26" s="1267">
        <v>80000000</v>
      </c>
      <c r="W26" s="206">
        <v>12</v>
      </c>
      <c r="X26" s="1268" t="s">
        <v>1049</v>
      </c>
      <c r="Y26" s="4448"/>
      <c r="Z26" s="4448"/>
      <c r="AA26" s="4448"/>
      <c r="AB26" s="4448"/>
      <c r="AC26" s="4448"/>
      <c r="AD26" s="4448"/>
      <c r="AE26" s="4448"/>
      <c r="AF26" s="4448"/>
      <c r="AG26" s="4448"/>
      <c r="AH26" s="4448"/>
      <c r="AI26" s="4448"/>
      <c r="AJ26" s="4448"/>
      <c r="AK26" s="4448"/>
      <c r="AL26" s="4448"/>
      <c r="AM26" s="4455"/>
      <c r="AN26" s="4448"/>
      <c r="AO26" s="3617"/>
      <c r="AP26" s="3617"/>
      <c r="AQ26" s="4459"/>
    </row>
    <row r="27" spans="1:43" s="1229" customFormat="1" ht="45.75" customHeight="1" x14ac:dyDescent="0.2">
      <c r="A27" s="1243"/>
      <c r="B27" s="1244"/>
      <c r="C27" s="1245"/>
      <c r="D27" s="1258"/>
      <c r="E27" s="1259"/>
      <c r="F27" s="1259"/>
      <c r="G27" s="1258"/>
      <c r="H27" s="1259"/>
      <c r="I27" s="1259"/>
      <c r="J27" s="3556">
        <v>208</v>
      </c>
      <c r="K27" s="3116" t="s">
        <v>1093</v>
      </c>
      <c r="L27" s="3116" t="s">
        <v>1094</v>
      </c>
      <c r="M27" s="3556">
        <v>1</v>
      </c>
      <c r="N27" s="208" t="s">
        <v>1095</v>
      </c>
      <c r="O27" s="3613"/>
      <c r="P27" s="3560"/>
      <c r="Q27" s="1261">
        <f>+V27/R25</f>
        <v>0.15789473684210525</v>
      </c>
      <c r="R27" s="3563"/>
      <c r="S27" s="3560"/>
      <c r="T27" s="3560" t="s">
        <v>780</v>
      </c>
      <c r="U27" s="3589" t="s">
        <v>1096</v>
      </c>
      <c r="V27" s="1267">
        <v>30000000</v>
      </c>
      <c r="W27" s="206">
        <v>4</v>
      </c>
      <c r="X27" s="1268" t="s">
        <v>1057</v>
      </c>
      <c r="Y27" s="4448"/>
      <c r="Z27" s="4448"/>
      <c r="AA27" s="4448"/>
      <c r="AB27" s="4448"/>
      <c r="AC27" s="4448"/>
      <c r="AD27" s="4448"/>
      <c r="AE27" s="4448"/>
      <c r="AF27" s="4448"/>
      <c r="AG27" s="4448"/>
      <c r="AH27" s="4448"/>
      <c r="AI27" s="4448"/>
      <c r="AJ27" s="4448"/>
      <c r="AK27" s="4448"/>
      <c r="AL27" s="4448"/>
      <c r="AM27" s="4455"/>
      <c r="AN27" s="4448"/>
      <c r="AO27" s="3617"/>
      <c r="AP27" s="3617"/>
      <c r="AQ27" s="4459"/>
    </row>
    <row r="28" spans="1:43" s="1229" customFormat="1" ht="48" customHeight="1" x14ac:dyDescent="0.2">
      <c r="A28" s="1243"/>
      <c r="B28" s="1244"/>
      <c r="C28" s="1245"/>
      <c r="D28" s="1258"/>
      <c r="E28" s="1259"/>
      <c r="F28" s="1259"/>
      <c r="G28" s="1258"/>
      <c r="H28" s="1259"/>
      <c r="I28" s="1259"/>
      <c r="J28" s="3556"/>
      <c r="K28" s="3116"/>
      <c r="L28" s="3116"/>
      <c r="M28" s="3556"/>
      <c r="N28" s="208" t="s">
        <v>1097</v>
      </c>
      <c r="O28" s="3613"/>
      <c r="P28" s="3560"/>
      <c r="Q28" s="1261">
        <f>+V28/R25</f>
        <v>0.13157894736842105</v>
      </c>
      <c r="R28" s="3563"/>
      <c r="S28" s="3560"/>
      <c r="T28" s="3560"/>
      <c r="U28" s="3589"/>
      <c r="V28" s="1267">
        <v>25000000</v>
      </c>
      <c r="W28" s="206">
        <v>12</v>
      </c>
      <c r="X28" s="1268" t="s">
        <v>1049</v>
      </c>
      <c r="Y28" s="4448"/>
      <c r="Z28" s="4448"/>
      <c r="AA28" s="4448"/>
      <c r="AB28" s="4448"/>
      <c r="AC28" s="4448"/>
      <c r="AD28" s="4448"/>
      <c r="AE28" s="4448"/>
      <c r="AF28" s="4448"/>
      <c r="AG28" s="4448"/>
      <c r="AH28" s="4448"/>
      <c r="AI28" s="4448"/>
      <c r="AJ28" s="4448"/>
      <c r="AK28" s="4448"/>
      <c r="AL28" s="4448"/>
      <c r="AM28" s="4455"/>
      <c r="AN28" s="4448"/>
      <c r="AO28" s="3617"/>
      <c r="AP28" s="3617"/>
      <c r="AQ28" s="4459"/>
    </row>
    <row r="29" spans="1:43" s="1229" customFormat="1" ht="20.25" customHeight="1" x14ac:dyDescent="0.2">
      <c r="A29" s="1230"/>
      <c r="B29" s="1231"/>
      <c r="C29" s="1232"/>
      <c r="D29" s="1233">
        <v>21</v>
      </c>
      <c r="E29" s="1234" t="s">
        <v>1098</v>
      </c>
      <c r="F29" s="1234"/>
      <c r="G29" s="1234"/>
      <c r="H29" s="1234"/>
      <c r="I29" s="1234"/>
      <c r="J29" s="1234"/>
      <c r="K29" s="1235"/>
      <c r="L29" s="1234"/>
      <c r="M29" s="1234"/>
      <c r="N29" s="1234"/>
      <c r="O29" s="1236"/>
      <c r="P29" s="1235"/>
      <c r="Q29" s="1237"/>
      <c r="R29" s="1275"/>
      <c r="S29" s="1235" t="s">
        <v>780</v>
      </c>
      <c r="T29" s="1235" t="s">
        <v>780</v>
      </c>
      <c r="U29" s="1235"/>
      <c r="V29" s="1276">
        <f>+SUM(V25:V28)</f>
        <v>190000000</v>
      </c>
      <c r="W29" s="1240"/>
      <c r="X29" s="1236"/>
      <c r="Y29" s="1234"/>
      <c r="Z29" s="1234"/>
      <c r="AA29" s="1234"/>
      <c r="AB29" s="1234"/>
      <c r="AC29" s="1234"/>
      <c r="AD29" s="1234"/>
      <c r="AE29" s="1234"/>
      <c r="AF29" s="1234"/>
      <c r="AG29" s="1234"/>
      <c r="AH29" s="1234"/>
      <c r="AI29" s="1234"/>
      <c r="AJ29" s="1234"/>
      <c r="AK29" s="1234"/>
      <c r="AL29" s="1234"/>
      <c r="AM29" s="1234"/>
      <c r="AN29" s="1234"/>
      <c r="AO29" s="1241"/>
      <c r="AP29" s="1241"/>
      <c r="AQ29" s="1242"/>
    </row>
    <row r="30" spans="1:43" s="1229" customFormat="1" ht="23.25" customHeight="1" x14ac:dyDescent="0.2">
      <c r="A30" s="1243"/>
      <c r="B30" s="1244"/>
      <c r="C30" s="1245"/>
      <c r="D30" s="1258"/>
      <c r="E30" s="1259"/>
      <c r="F30" s="1259"/>
      <c r="G30" s="1248">
        <v>72</v>
      </c>
      <c r="H30" s="1249" t="s">
        <v>1099</v>
      </c>
      <c r="I30" s="1249"/>
      <c r="J30" s="1249"/>
      <c r="K30" s="1250"/>
      <c r="L30" s="1249"/>
      <c r="M30" s="1249"/>
      <c r="N30" s="1249"/>
      <c r="O30" s="1251"/>
      <c r="P30" s="1250"/>
      <c r="Q30" s="1252"/>
      <c r="R30" s="1270"/>
      <c r="S30" s="1250" t="s">
        <v>780</v>
      </c>
      <c r="T30" s="1250" t="s">
        <v>780</v>
      </c>
      <c r="U30" s="1250"/>
      <c r="V30" s="1271"/>
      <c r="W30" s="1255"/>
      <c r="X30" s="1251"/>
      <c r="Y30" s="1272"/>
      <c r="Z30" s="1272"/>
      <c r="AA30" s="1272"/>
      <c r="AB30" s="1272"/>
      <c r="AC30" s="1272"/>
      <c r="AD30" s="1272"/>
      <c r="AE30" s="1272"/>
      <c r="AF30" s="1272"/>
      <c r="AG30" s="1272"/>
      <c r="AH30" s="1272"/>
      <c r="AI30" s="1272"/>
      <c r="AJ30" s="1272"/>
      <c r="AK30" s="1272"/>
      <c r="AL30" s="1272"/>
      <c r="AM30" s="1272"/>
      <c r="AN30" s="1272"/>
      <c r="AO30" s="1256"/>
      <c r="AP30" s="1256"/>
      <c r="AQ30" s="1273"/>
    </row>
    <row r="31" spans="1:43" s="1229" customFormat="1" ht="45" customHeight="1" x14ac:dyDescent="0.2">
      <c r="A31" s="1243"/>
      <c r="B31" s="1244"/>
      <c r="C31" s="1245"/>
      <c r="D31" s="1258"/>
      <c r="E31" s="1259"/>
      <c r="F31" s="1259"/>
      <c r="G31" s="1258"/>
      <c r="H31" s="1259"/>
      <c r="I31" s="1259"/>
      <c r="J31" s="3556">
        <v>209</v>
      </c>
      <c r="K31" s="3601" t="s">
        <v>1100</v>
      </c>
      <c r="L31" s="3601" t="s">
        <v>1101</v>
      </c>
      <c r="M31" s="3557">
        <v>1</v>
      </c>
      <c r="N31" s="208" t="s">
        <v>1102</v>
      </c>
      <c r="O31" s="3557" t="s">
        <v>1103</v>
      </c>
      <c r="P31" s="3097" t="s">
        <v>1104</v>
      </c>
      <c r="Q31" s="1261">
        <f>+V31/$R$31</f>
        <v>0.18053688419696262</v>
      </c>
      <c r="R31" s="3136">
        <f>+SUM(V31:V39)</f>
        <v>166171030</v>
      </c>
      <c r="S31" s="3097" t="s">
        <v>1105</v>
      </c>
      <c r="T31" s="3097" t="s">
        <v>1106</v>
      </c>
      <c r="U31" s="3097" t="s">
        <v>1107</v>
      </c>
      <c r="V31" s="1262">
        <v>30000000</v>
      </c>
      <c r="W31" s="213">
        <v>3</v>
      </c>
      <c r="X31" s="1263" t="s">
        <v>1055</v>
      </c>
      <c r="Y31" s="3559">
        <v>1666</v>
      </c>
      <c r="Z31" s="3559">
        <v>1507</v>
      </c>
      <c r="AA31" s="3559">
        <v>1400</v>
      </c>
      <c r="AB31" s="3559">
        <v>350</v>
      </c>
      <c r="AC31" s="3559">
        <v>450</v>
      </c>
      <c r="AD31" s="3559">
        <v>973</v>
      </c>
      <c r="AE31" s="3559"/>
      <c r="AF31" s="3559"/>
      <c r="AG31" s="3559"/>
      <c r="AH31" s="3559"/>
      <c r="AI31" s="3559"/>
      <c r="AJ31" s="3559"/>
      <c r="AK31" s="3559"/>
      <c r="AL31" s="3559"/>
      <c r="AM31" s="4454"/>
      <c r="AN31" s="3559">
        <f>+Y31+Z31</f>
        <v>3173</v>
      </c>
      <c r="AO31" s="3596">
        <v>43480</v>
      </c>
      <c r="AP31" s="3596">
        <v>43830</v>
      </c>
      <c r="AQ31" s="4458" t="s">
        <v>1050</v>
      </c>
    </row>
    <row r="32" spans="1:43" s="1229" customFormat="1" ht="45" customHeight="1" x14ac:dyDescent="0.2">
      <c r="A32" s="1243"/>
      <c r="B32" s="1244"/>
      <c r="C32" s="1245"/>
      <c r="D32" s="1258"/>
      <c r="E32" s="1259"/>
      <c r="F32" s="1259"/>
      <c r="G32" s="1258"/>
      <c r="H32" s="1259"/>
      <c r="I32" s="1259"/>
      <c r="J32" s="3556"/>
      <c r="K32" s="3602"/>
      <c r="L32" s="3602"/>
      <c r="M32" s="3613"/>
      <c r="N32" s="208" t="s">
        <v>1108</v>
      </c>
      <c r="O32" s="3613"/>
      <c r="P32" s="3560"/>
      <c r="Q32" s="1261">
        <f t="shared" ref="Q32:Q39" si="0">+V32/$R$31</f>
        <v>0.15044740349746885</v>
      </c>
      <c r="R32" s="3137"/>
      <c r="S32" s="3560"/>
      <c r="T32" s="3560"/>
      <c r="U32" s="3560"/>
      <c r="V32" s="1262">
        <v>25000000</v>
      </c>
      <c r="W32" s="213">
        <v>7</v>
      </c>
      <c r="X32" s="1263" t="s">
        <v>1079</v>
      </c>
      <c r="Y32" s="4448"/>
      <c r="Z32" s="4448"/>
      <c r="AA32" s="4448"/>
      <c r="AB32" s="4448"/>
      <c r="AC32" s="4448"/>
      <c r="AD32" s="4448"/>
      <c r="AE32" s="4448"/>
      <c r="AF32" s="4448"/>
      <c r="AG32" s="4448"/>
      <c r="AH32" s="4448"/>
      <c r="AI32" s="4448"/>
      <c r="AJ32" s="4448"/>
      <c r="AK32" s="4448"/>
      <c r="AL32" s="4448"/>
      <c r="AM32" s="4455"/>
      <c r="AN32" s="4448"/>
      <c r="AO32" s="3617"/>
      <c r="AP32" s="3617"/>
      <c r="AQ32" s="4459"/>
    </row>
    <row r="33" spans="1:43" s="1229" customFormat="1" ht="45" customHeight="1" x14ac:dyDescent="0.2">
      <c r="A33" s="1243"/>
      <c r="B33" s="1244"/>
      <c r="C33" s="1245"/>
      <c r="D33" s="1258"/>
      <c r="E33" s="1259"/>
      <c r="F33" s="1259"/>
      <c r="G33" s="1258"/>
      <c r="H33" s="1259"/>
      <c r="I33" s="1259"/>
      <c r="J33" s="3556"/>
      <c r="K33" s="3602"/>
      <c r="L33" s="3602"/>
      <c r="M33" s="3613"/>
      <c r="N33" s="238" t="s">
        <v>1109</v>
      </c>
      <c r="O33" s="3613"/>
      <c r="P33" s="3560"/>
      <c r="Q33" s="1261">
        <f t="shared" si="0"/>
        <v>0.12035792279797508</v>
      </c>
      <c r="R33" s="3137"/>
      <c r="S33" s="3560"/>
      <c r="T33" s="3560"/>
      <c r="U33" s="3560"/>
      <c r="V33" s="1277">
        <v>20000000</v>
      </c>
      <c r="W33" s="213">
        <v>3</v>
      </c>
      <c r="X33" s="1278" t="s">
        <v>1110</v>
      </c>
      <c r="Y33" s="4448"/>
      <c r="Z33" s="4448"/>
      <c r="AA33" s="4448"/>
      <c r="AB33" s="4448"/>
      <c r="AC33" s="4448"/>
      <c r="AD33" s="4448"/>
      <c r="AE33" s="4448"/>
      <c r="AF33" s="4448"/>
      <c r="AG33" s="4448"/>
      <c r="AH33" s="4448"/>
      <c r="AI33" s="4448"/>
      <c r="AJ33" s="4448"/>
      <c r="AK33" s="4448"/>
      <c r="AL33" s="4448"/>
      <c r="AM33" s="4455"/>
      <c r="AN33" s="4448"/>
      <c r="AO33" s="3617"/>
      <c r="AP33" s="3617"/>
      <c r="AQ33" s="4459"/>
    </row>
    <row r="34" spans="1:43" s="1229" customFormat="1" ht="39" customHeight="1" x14ac:dyDescent="0.2">
      <c r="A34" s="1243"/>
      <c r="B34" s="1244"/>
      <c r="C34" s="1245"/>
      <c r="D34" s="1258"/>
      <c r="E34" s="1259"/>
      <c r="F34" s="1259"/>
      <c r="G34" s="1258"/>
      <c r="H34" s="1259"/>
      <c r="I34" s="1259"/>
      <c r="J34" s="3557">
        <v>210</v>
      </c>
      <c r="K34" s="3601" t="s">
        <v>1111</v>
      </c>
      <c r="L34" s="3601" t="s">
        <v>1112</v>
      </c>
      <c r="M34" s="3557">
        <v>1</v>
      </c>
      <c r="N34" s="208" t="s">
        <v>1113</v>
      </c>
      <c r="O34" s="3613"/>
      <c r="P34" s="3560"/>
      <c r="Q34" s="1261">
        <f t="shared" si="0"/>
        <v>5.4161065259088786E-2</v>
      </c>
      <c r="R34" s="3137"/>
      <c r="S34" s="3560"/>
      <c r="T34" s="3560"/>
      <c r="U34" s="3097" t="s">
        <v>1114</v>
      </c>
      <c r="V34" s="1262">
        <v>9000000</v>
      </c>
      <c r="W34" s="213">
        <v>4</v>
      </c>
      <c r="X34" s="1263" t="s">
        <v>1057</v>
      </c>
      <c r="Y34" s="4448"/>
      <c r="Z34" s="4448"/>
      <c r="AA34" s="4448"/>
      <c r="AB34" s="4448"/>
      <c r="AC34" s="4448"/>
      <c r="AD34" s="4448"/>
      <c r="AE34" s="4448"/>
      <c r="AF34" s="4448"/>
      <c r="AG34" s="4448"/>
      <c r="AH34" s="4448"/>
      <c r="AI34" s="4448"/>
      <c r="AJ34" s="4448"/>
      <c r="AK34" s="4448"/>
      <c r="AL34" s="4448"/>
      <c r="AM34" s="4455"/>
      <c r="AN34" s="4448"/>
      <c r="AO34" s="3617"/>
      <c r="AP34" s="3617"/>
      <c r="AQ34" s="4459"/>
    </row>
    <row r="35" spans="1:43" s="1229" customFormat="1" ht="31.5" customHeight="1" x14ac:dyDescent="0.2">
      <c r="A35" s="1243"/>
      <c r="B35" s="1244"/>
      <c r="C35" s="1245"/>
      <c r="D35" s="1258"/>
      <c r="E35" s="1259"/>
      <c r="F35" s="1259"/>
      <c r="G35" s="1258"/>
      <c r="H35" s="1259"/>
      <c r="I35" s="1259"/>
      <c r="J35" s="3613"/>
      <c r="K35" s="3602"/>
      <c r="L35" s="3602"/>
      <c r="M35" s="3613"/>
      <c r="N35" s="208" t="s">
        <v>1115</v>
      </c>
      <c r="O35" s="3613"/>
      <c r="P35" s="3560"/>
      <c r="Q35" s="1261">
        <f t="shared" si="0"/>
        <v>0.15044740349746885</v>
      </c>
      <c r="R35" s="3137"/>
      <c r="S35" s="3560"/>
      <c r="T35" s="3560"/>
      <c r="U35" s="3560"/>
      <c r="V35" s="1262">
        <v>25000000</v>
      </c>
      <c r="W35" s="213">
        <v>3</v>
      </c>
      <c r="X35" s="1263" t="s">
        <v>1055</v>
      </c>
      <c r="Y35" s="4448"/>
      <c r="Z35" s="4448"/>
      <c r="AA35" s="4448"/>
      <c r="AB35" s="4448"/>
      <c r="AC35" s="4448"/>
      <c r="AD35" s="4448"/>
      <c r="AE35" s="4448"/>
      <c r="AF35" s="4448"/>
      <c r="AG35" s="4448"/>
      <c r="AH35" s="4448"/>
      <c r="AI35" s="4448"/>
      <c r="AJ35" s="4448"/>
      <c r="AK35" s="4448"/>
      <c r="AL35" s="4448"/>
      <c r="AM35" s="4455"/>
      <c r="AN35" s="4448"/>
      <c r="AO35" s="3617"/>
      <c r="AP35" s="3617"/>
      <c r="AQ35" s="4459"/>
    </row>
    <row r="36" spans="1:43" s="1229" customFormat="1" ht="31.5" customHeight="1" x14ac:dyDescent="0.2">
      <c r="A36" s="1243"/>
      <c r="B36" s="1244"/>
      <c r="C36" s="1245"/>
      <c r="D36" s="1258"/>
      <c r="E36" s="1259"/>
      <c r="F36" s="1259"/>
      <c r="G36" s="1258"/>
      <c r="H36" s="1259"/>
      <c r="I36" s="1259"/>
      <c r="J36" s="3613"/>
      <c r="K36" s="3602"/>
      <c r="L36" s="3602"/>
      <c r="M36" s="3613"/>
      <c r="N36" s="208" t="s">
        <v>1116</v>
      </c>
      <c r="O36" s="3613"/>
      <c r="P36" s="3560"/>
      <c r="Q36" s="1261">
        <f t="shared" si="0"/>
        <v>6.017896139898754E-2</v>
      </c>
      <c r="R36" s="3137"/>
      <c r="S36" s="3560"/>
      <c r="T36" s="3560"/>
      <c r="U36" s="3560"/>
      <c r="V36" s="1262">
        <v>10000000</v>
      </c>
      <c r="W36" s="213">
        <v>7</v>
      </c>
      <c r="X36" s="1263" t="s">
        <v>1079</v>
      </c>
      <c r="Y36" s="4448"/>
      <c r="Z36" s="4448"/>
      <c r="AA36" s="4448"/>
      <c r="AB36" s="4448"/>
      <c r="AC36" s="4448"/>
      <c r="AD36" s="4448"/>
      <c r="AE36" s="4448"/>
      <c r="AF36" s="4448"/>
      <c r="AG36" s="4448"/>
      <c r="AH36" s="4448"/>
      <c r="AI36" s="4448"/>
      <c r="AJ36" s="4448"/>
      <c r="AK36" s="4448"/>
      <c r="AL36" s="4448"/>
      <c r="AM36" s="4455"/>
      <c r="AN36" s="4448"/>
      <c r="AO36" s="3617"/>
      <c r="AP36" s="3617"/>
      <c r="AQ36" s="4459"/>
    </row>
    <row r="37" spans="1:43" s="1229" customFormat="1" ht="31.5" customHeight="1" x14ac:dyDescent="0.2">
      <c r="A37" s="1243"/>
      <c r="B37" s="1244"/>
      <c r="C37" s="1245"/>
      <c r="D37" s="1258"/>
      <c r="E37" s="1259"/>
      <c r="F37" s="1259"/>
      <c r="G37" s="1258"/>
      <c r="H37" s="1259"/>
      <c r="I37" s="1259"/>
      <c r="J37" s="3613"/>
      <c r="K37" s="3602"/>
      <c r="L37" s="3602"/>
      <c r="M37" s="3613"/>
      <c r="N37" s="238" t="s">
        <v>1117</v>
      </c>
      <c r="O37" s="3613"/>
      <c r="P37" s="3560"/>
      <c r="Q37" s="1261">
        <f t="shared" si="0"/>
        <v>7.3243994455591932E-2</v>
      </c>
      <c r="R37" s="3137"/>
      <c r="S37" s="3560"/>
      <c r="T37" s="3560"/>
      <c r="U37" s="3560"/>
      <c r="V37" s="1277">
        <v>12171030</v>
      </c>
      <c r="W37" s="213">
        <v>3</v>
      </c>
      <c r="X37" s="1278" t="s">
        <v>1110</v>
      </c>
      <c r="Y37" s="4448"/>
      <c r="Z37" s="4448"/>
      <c r="AA37" s="4448"/>
      <c r="AB37" s="4448"/>
      <c r="AC37" s="4448"/>
      <c r="AD37" s="4448"/>
      <c r="AE37" s="4448"/>
      <c r="AF37" s="4448"/>
      <c r="AG37" s="4448"/>
      <c r="AH37" s="4448"/>
      <c r="AI37" s="4448"/>
      <c r="AJ37" s="4448"/>
      <c r="AK37" s="4448"/>
      <c r="AL37" s="4448"/>
      <c r="AM37" s="4455"/>
      <c r="AN37" s="4448"/>
      <c r="AO37" s="3617"/>
      <c r="AP37" s="3617"/>
      <c r="AQ37" s="4459"/>
    </row>
    <row r="38" spans="1:43" s="1229" customFormat="1" ht="27" customHeight="1" x14ac:dyDescent="0.2">
      <c r="A38" s="1243"/>
      <c r="B38" s="1244"/>
      <c r="C38" s="1245"/>
      <c r="D38" s="1258"/>
      <c r="E38" s="1259"/>
      <c r="F38" s="1259"/>
      <c r="G38" s="1258"/>
      <c r="H38" s="1259"/>
      <c r="I38" s="1259"/>
      <c r="J38" s="3557">
        <v>211</v>
      </c>
      <c r="K38" s="4460" t="s">
        <v>1118</v>
      </c>
      <c r="L38" s="3610" t="s">
        <v>1119</v>
      </c>
      <c r="M38" s="3557">
        <v>1</v>
      </c>
      <c r="N38" s="208" t="s">
        <v>1120</v>
      </c>
      <c r="O38" s="3613"/>
      <c r="P38" s="3560"/>
      <c r="Q38" s="1261">
        <f t="shared" si="0"/>
        <v>0.15044740349746885</v>
      </c>
      <c r="R38" s="3137"/>
      <c r="S38" s="3560"/>
      <c r="T38" s="3560"/>
      <c r="U38" s="3097" t="s">
        <v>1121</v>
      </c>
      <c r="V38" s="1262">
        <v>25000000</v>
      </c>
      <c r="W38" s="213">
        <v>3</v>
      </c>
      <c r="X38" s="1263" t="s">
        <v>1055</v>
      </c>
      <c r="Y38" s="4448"/>
      <c r="Z38" s="4448"/>
      <c r="AA38" s="4448"/>
      <c r="AB38" s="4448"/>
      <c r="AC38" s="4448"/>
      <c r="AD38" s="4448"/>
      <c r="AE38" s="4448"/>
      <c r="AF38" s="4448"/>
      <c r="AG38" s="4448"/>
      <c r="AH38" s="4448"/>
      <c r="AI38" s="4448"/>
      <c r="AJ38" s="4448"/>
      <c r="AK38" s="4448"/>
      <c r="AL38" s="4448"/>
      <c r="AM38" s="4455"/>
      <c r="AN38" s="4448"/>
      <c r="AO38" s="3617"/>
      <c r="AP38" s="3617"/>
      <c r="AQ38" s="4459"/>
    </row>
    <row r="39" spans="1:43" s="1229" customFormat="1" ht="27" customHeight="1" x14ac:dyDescent="0.2">
      <c r="A39" s="1243"/>
      <c r="B39" s="1244"/>
      <c r="C39" s="1245"/>
      <c r="D39" s="1258"/>
      <c r="E39" s="1259"/>
      <c r="F39" s="1259"/>
      <c r="G39" s="1258"/>
      <c r="H39" s="1259"/>
      <c r="I39" s="1259"/>
      <c r="J39" s="3613"/>
      <c r="K39" s="4461"/>
      <c r="L39" s="3611"/>
      <c r="M39" s="3613"/>
      <c r="N39" s="208" t="s">
        <v>1122</v>
      </c>
      <c r="O39" s="3613"/>
      <c r="P39" s="3560"/>
      <c r="Q39" s="1261">
        <f t="shared" si="0"/>
        <v>6.017896139898754E-2</v>
      </c>
      <c r="R39" s="3137"/>
      <c r="S39" s="3560"/>
      <c r="T39" s="3560"/>
      <c r="U39" s="3560"/>
      <c r="V39" s="1262">
        <v>10000000</v>
      </c>
      <c r="W39" s="213">
        <v>7</v>
      </c>
      <c r="X39" s="1263" t="s">
        <v>1079</v>
      </c>
      <c r="Y39" s="4448"/>
      <c r="Z39" s="4448"/>
      <c r="AA39" s="4448"/>
      <c r="AB39" s="4448"/>
      <c r="AC39" s="4448"/>
      <c r="AD39" s="4448"/>
      <c r="AE39" s="4448"/>
      <c r="AF39" s="4448"/>
      <c r="AG39" s="4448"/>
      <c r="AH39" s="4448"/>
      <c r="AI39" s="4448"/>
      <c r="AJ39" s="4448"/>
      <c r="AK39" s="4448"/>
      <c r="AL39" s="4448"/>
      <c r="AM39" s="4456"/>
      <c r="AN39" s="4448"/>
      <c r="AO39" s="3617"/>
      <c r="AP39" s="3617"/>
      <c r="AQ39" s="4459"/>
    </row>
    <row r="40" spans="1:43" s="1229" customFormat="1" ht="23.25" customHeight="1" x14ac:dyDescent="0.2">
      <c r="A40" s="1243"/>
      <c r="B40" s="1244"/>
      <c r="C40" s="1245"/>
      <c r="D40" s="1258"/>
      <c r="E40" s="1259"/>
      <c r="F40" s="1259"/>
      <c r="G40" s="1248">
        <v>73</v>
      </c>
      <c r="H40" s="1249" t="s">
        <v>1123</v>
      </c>
      <c r="I40" s="1249"/>
      <c r="J40" s="1249"/>
      <c r="K40" s="1250"/>
      <c r="L40" s="1249"/>
      <c r="M40" s="1249"/>
      <c r="N40" s="1249"/>
      <c r="O40" s="1251"/>
      <c r="P40" s="1250"/>
      <c r="Q40" s="1252"/>
      <c r="R40" s="1253"/>
      <c r="S40" s="1250" t="s">
        <v>780</v>
      </c>
      <c r="T40" s="1250" t="s">
        <v>780</v>
      </c>
      <c r="U40" s="1250"/>
      <c r="V40" s="1271">
        <f>+SUM(V31:V39)</f>
        <v>166171030</v>
      </c>
      <c r="W40" s="1255"/>
      <c r="X40" s="1251"/>
      <c r="Y40" s="1272"/>
      <c r="Z40" s="1272"/>
      <c r="AA40" s="1272"/>
      <c r="AB40" s="1272"/>
      <c r="AC40" s="1272"/>
      <c r="AD40" s="1272"/>
      <c r="AE40" s="1272"/>
      <c r="AF40" s="1272"/>
      <c r="AG40" s="1272"/>
      <c r="AH40" s="1272"/>
      <c r="AI40" s="1272"/>
      <c r="AJ40" s="1272"/>
      <c r="AK40" s="1272"/>
      <c r="AL40" s="1272"/>
      <c r="AM40" s="1272"/>
      <c r="AN40" s="1272"/>
      <c r="AO40" s="1256"/>
      <c r="AP40" s="1256"/>
      <c r="AQ40" s="1273"/>
    </row>
    <row r="41" spans="1:43" s="1229" customFormat="1" ht="68.25" customHeight="1" x14ac:dyDescent="0.2">
      <c r="A41" s="1243"/>
      <c r="B41" s="1244"/>
      <c r="C41" s="1245"/>
      <c r="D41" s="1258"/>
      <c r="E41" s="1259"/>
      <c r="F41" s="1259"/>
      <c r="G41" s="1258"/>
      <c r="H41" s="1259"/>
      <c r="I41" s="1259"/>
      <c r="J41" s="3556">
        <v>212</v>
      </c>
      <c r="K41" s="3589" t="s">
        <v>1124</v>
      </c>
      <c r="L41" s="3116" t="s">
        <v>1125</v>
      </c>
      <c r="M41" s="3556">
        <v>1</v>
      </c>
      <c r="N41" s="208" t="s">
        <v>1126</v>
      </c>
      <c r="O41" s="3556" t="s">
        <v>1127</v>
      </c>
      <c r="P41" s="3589" t="s">
        <v>1128</v>
      </c>
      <c r="Q41" s="1261">
        <f>+V41/R41</f>
        <v>0.22857142857142856</v>
      </c>
      <c r="R41" s="3563">
        <f>SUM(V41:V42)</f>
        <v>175000000</v>
      </c>
      <c r="S41" s="3097" t="s">
        <v>1129</v>
      </c>
      <c r="T41" s="3097" t="s">
        <v>1130</v>
      </c>
      <c r="U41" s="3589" t="s">
        <v>1131</v>
      </c>
      <c r="V41" s="1267">
        <v>40000000</v>
      </c>
      <c r="W41" s="206">
        <v>3</v>
      </c>
      <c r="X41" s="1268" t="s">
        <v>1055</v>
      </c>
      <c r="Y41" s="3559">
        <v>3380</v>
      </c>
      <c r="Z41" s="3559">
        <v>460</v>
      </c>
      <c r="AA41" s="4462"/>
      <c r="AB41" s="4462"/>
      <c r="AC41" s="3559">
        <v>3840</v>
      </c>
      <c r="AD41" s="3559"/>
      <c r="AE41" s="3559"/>
      <c r="AF41" s="3559"/>
      <c r="AG41" s="3559"/>
      <c r="AH41" s="3559"/>
      <c r="AI41" s="3559"/>
      <c r="AJ41" s="3559"/>
      <c r="AK41" s="3559"/>
      <c r="AL41" s="3559"/>
      <c r="AN41" s="3559">
        <f>+Z41+Y41</f>
        <v>3840</v>
      </c>
      <c r="AO41" s="3596">
        <v>43480</v>
      </c>
      <c r="AP41" s="3596">
        <v>43830</v>
      </c>
      <c r="AQ41" s="4450" t="s">
        <v>1050</v>
      </c>
    </row>
    <row r="42" spans="1:43" s="1229" customFormat="1" ht="68.25" customHeight="1" x14ac:dyDescent="0.2">
      <c r="A42" s="1243"/>
      <c r="B42" s="1244"/>
      <c r="C42" s="1245"/>
      <c r="D42" s="1258"/>
      <c r="E42" s="1259"/>
      <c r="F42" s="1259"/>
      <c r="G42" s="1258"/>
      <c r="H42" s="1259"/>
      <c r="I42" s="1259"/>
      <c r="J42" s="3556"/>
      <c r="K42" s="3589"/>
      <c r="L42" s="3116"/>
      <c r="M42" s="3556"/>
      <c r="N42" s="208" t="s">
        <v>1132</v>
      </c>
      <c r="O42" s="3556"/>
      <c r="P42" s="3589"/>
      <c r="Q42" s="1261">
        <f>+V42/R41</f>
        <v>0.77142857142857146</v>
      </c>
      <c r="R42" s="3563"/>
      <c r="S42" s="3560"/>
      <c r="T42" s="3560"/>
      <c r="U42" s="3589"/>
      <c r="V42" s="1267">
        <v>135000000</v>
      </c>
      <c r="W42" s="206">
        <v>7</v>
      </c>
      <c r="X42" s="1268" t="s">
        <v>1079</v>
      </c>
      <c r="Y42" s="4448"/>
      <c r="Z42" s="4448"/>
      <c r="AA42" s="4463"/>
      <c r="AB42" s="4463"/>
      <c r="AC42" s="4448"/>
      <c r="AD42" s="4448"/>
      <c r="AE42" s="4448"/>
      <c r="AF42" s="4448"/>
      <c r="AG42" s="4448"/>
      <c r="AH42" s="4448"/>
      <c r="AI42" s="4448"/>
      <c r="AJ42" s="4448"/>
      <c r="AK42" s="4448"/>
      <c r="AL42" s="4448"/>
      <c r="AN42" s="4448"/>
      <c r="AO42" s="3617"/>
      <c r="AP42" s="3617"/>
      <c r="AQ42" s="4451"/>
    </row>
    <row r="43" spans="1:43" s="1229" customFormat="1" ht="20.25" customHeight="1" x14ac:dyDescent="0.2">
      <c r="A43" s="1230"/>
      <c r="B43" s="1231"/>
      <c r="C43" s="1232"/>
      <c r="D43" s="1233">
        <v>22</v>
      </c>
      <c r="E43" s="1234" t="s">
        <v>1133</v>
      </c>
      <c r="F43" s="1234"/>
      <c r="G43" s="1234"/>
      <c r="H43" s="1234"/>
      <c r="I43" s="1234"/>
      <c r="J43" s="1234"/>
      <c r="K43" s="1235"/>
      <c r="L43" s="1234"/>
      <c r="M43" s="1234"/>
      <c r="N43" s="1234"/>
      <c r="O43" s="1236"/>
      <c r="P43" s="1235"/>
      <c r="Q43" s="1237"/>
      <c r="R43" s="1275"/>
      <c r="S43" s="1235" t="s">
        <v>780</v>
      </c>
      <c r="T43" s="1235" t="s">
        <v>780</v>
      </c>
      <c r="U43" s="1235"/>
      <c r="V43" s="1276">
        <f>+SUM(V41:V42)</f>
        <v>175000000</v>
      </c>
      <c r="W43" s="1240"/>
      <c r="X43" s="1236"/>
      <c r="Y43" s="1234"/>
      <c r="Z43" s="1234"/>
      <c r="AA43" s="1234"/>
      <c r="AB43" s="1234"/>
      <c r="AC43" s="1234"/>
      <c r="AD43" s="1234"/>
      <c r="AE43" s="1234"/>
      <c r="AF43" s="1234"/>
      <c r="AG43" s="1234"/>
      <c r="AH43" s="1234"/>
      <c r="AI43" s="1234"/>
      <c r="AJ43" s="1234"/>
      <c r="AK43" s="1234"/>
      <c r="AL43" s="1234"/>
      <c r="AM43" s="1234"/>
      <c r="AN43" s="1234"/>
      <c r="AO43" s="1241"/>
      <c r="AP43" s="1241"/>
      <c r="AQ43" s="1242"/>
    </row>
    <row r="44" spans="1:43" s="1229" customFormat="1" ht="23.25" customHeight="1" x14ac:dyDescent="0.2">
      <c r="A44" s="1243"/>
      <c r="B44" s="1244"/>
      <c r="C44" s="1245"/>
      <c r="D44" s="1258"/>
      <c r="E44" s="1259"/>
      <c r="F44" s="1259"/>
      <c r="G44" s="1248">
        <v>74</v>
      </c>
      <c r="H44" s="1249" t="s">
        <v>1123</v>
      </c>
      <c r="I44" s="1249"/>
      <c r="J44" s="1249"/>
      <c r="K44" s="1250"/>
      <c r="L44" s="1249"/>
      <c r="M44" s="1249"/>
      <c r="N44" s="1249"/>
      <c r="O44" s="1251"/>
      <c r="P44" s="1250"/>
      <c r="Q44" s="1252"/>
      <c r="R44" s="1270"/>
      <c r="S44" s="1250" t="s">
        <v>780</v>
      </c>
      <c r="T44" s="1250" t="s">
        <v>780</v>
      </c>
      <c r="U44" s="1250"/>
      <c r="V44" s="1271"/>
      <c r="W44" s="1255"/>
      <c r="X44" s="1251"/>
      <c r="Y44" s="1272"/>
      <c r="Z44" s="1272"/>
      <c r="AA44" s="1272"/>
      <c r="AB44" s="1272"/>
      <c r="AC44" s="1272"/>
      <c r="AD44" s="1272"/>
      <c r="AE44" s="1272"/>
      <c r="AF44" s="1272"/>
      <c r="AG44" s="1272"/>
      <c r="AH44" s="1272"/>
      <c r="AI44" s="1272"/>
      <c r="AJ44" s="1272"/>
      <c r="AK44" s="1272"/>
      <c r="AL44" s="1272"/>
      <c r="AM44" s="1272"/>
      <c r="AN44" s="1272"/>
      <c r="AO44" s="1256"/>
      <c r="AP44" s="1256"/>
      <c r="AQ44" s="1273"/>
    </row>
    <row r="45" spans="1:43" s="1229" customFormat="1" ht="58.5" customHeight="1" x14ac:dyDescent="0.2">
      <c r="A45" s="1243"/>
      <c r="B45" s="1244"/>
      <c r="C45" s="1245"/>
      <c r="D45" s="1258"/>
      <c r="E45" s="1259"/>
      <c r="F45" s="1259"/>
      <c r="G45" s="1258"/>
      <c r="H45" s="1259"/>
      <c r="I45" s="1259"/>
      <c r="J45" s="3557">
        <v>213</v>
      </c>
      <c r="K45" s="3097" t="s">
        <v>1134</v>
      </c>
      <c r="L45" s="3601" t="s">
        <v>1135</v>
      </c>
      <c r="M45" s="3557">
        <v>12</v>
      </c>
      <c r="N45" s="3557" t="s">
        <v>1136</v>
      </c>
      <c r="O45" s="3557" t="s">
        <v>1137</v>
      </c>
      <c r="P45" s="4464" t="s">
        <v>1138</v>
      </c>
      <c r="Q45" s="4466">
        <f>+V45/R45</f>
        <v>1</v>
      </c>
      <c r="R45" s="3136">
        <f>+V45</f>
        <v>182000000</v>
      </c>
      <c r="S45" s="3097" t="s">
        <v>1139</v>
      </c>
      <c r="T45" s="3097" t="s">
        <v>1140</v>
      </c>
      <c r="U45" s="3097" t="s">
        <v>1141</v>
      </c>
      <c r="V45" s="3136">
        <v>182000000</v>
      </c>
      <c r="W45" s="3559">
        <v>2</v>
      </c>
      <c r="X45" s="3557" t="s">
        <v>1142</v>
      </c>
      <c r="Y45" s="3559"/>
      <c r="Z45" s="3559"/>
      <c r="AA45" s="3559"/>
      <c r="AB45" s="3559"/>
      <c r="AC45" s="3559"/>
      <c r="AD45" s="3559"/>
      <c r="AE45" s="3559"/>
      <c r="AF45" s="3559"/>
      <c r="AG45" s="3559"/>
      <c r="AH45" s="3559"/>
      <c r="AI45" s="3559"/>
      <c r="AJ45" s="3559"/>
      <c r="AK45" s="3559"/>
      <c r="AL45" s="3559"/>
      <c r="AM45" s="3559"/>
      <c r="AN45" s="3559"/>
      <c r="AO45" s="3596">
        <v>43101</v>
      </c>
      <c r="AP45" s="3596">
        <v>43465</v>
      </c>
      <c r="AQ45" s="4450" t="s">
        <v>1143</v>
      </c>
    </row>
    <row r="46" spans="1:43" ht="52.5" customHeight="1" x14ac:dyDescent="0.2">
      <c r="A46" s="1279"/>
      <c r="B46" s="1280"/>
      <c r="C46" s="1281"/>
      <c r="D46" s="1282"/>
      <c r="E46" s="4468"/>
      <c r="F46" s="3577"/>
      <c r="G46" s="1282"/>
      <c r="H46" s="4468"/>
      <c r="I46" s="3577"/>
      <c r="J46" s="3578"/>
      <c r="K46" s="3098"/>
      <c r="L46" s="3603"/>
      <c r="M46" s="3578"/>
      <c r="N46" s="3578"/>
      <c r="O46" s="3578"/>
      <c r="P46" s="4465"/>
      <c r="Q46" s="4467"/>
      <c r="R46" s="3138"/>
      <c r="S46" s="3098"/>
      <c r="T46" s="3098" t="s">
        <v>780</v>
      </c>
      <c r="U46" s="3098"/>
      <c r="V46" s="3138"/>
      <c r="W46" s="3599"/>
      <c r="X46" s="3578"/>
      <c r="Y46" s="3599"/>
      <c r="Z46" s="3599"/>
      <c r="AA46" s="3599"/>
      <c r="AB46" s="3599"/>
      <c r="AC46" s="3599"/>
      <c r="AD46" s="3599"/>
      <c r="AE46" s="3599"/>
      <c r="AF46" s="3599"/>
      <c r="AG46" s="3599"/>
      <c r="AH46" s="3599"/>
      <c r="AI46" s="3599"/>
      <c r="AJ46" s="3599"/>
      <c r="AK46" s="3599"/>
      <c r="AL46" s="3599"/>
      <c r="AM46" s="3599"/>
      <c r="AN46" s="3599"/>
      <c r="AO46" s="3618"/>
      <c r="AP46" s="3618"/>
      <c r="AQ46" s="4452"/>
    </row>
    <row r="47" spans="1:43" ht="15" x14ac:dyDescent="0.2">
      <c r="A47" s="1283"/>
      <c r="B47" s="1284"/>
      <c r="C47" s="1284"/>
      <c r="D47" s="1284"/>
      <c r="E47" s="1284"/>
      <c r="F47" s="1284"/>
      <c r="G47" s="1284"/>
      <c r="H47" s="1284"/>
      <c r="I47" s="1284"/>
      <c r="J47" s="1284"/>
      <c r="K47" s="1285"/>
      <c r="L47" s="1286"/>
      <c r="M47" s="1286"/>
      <c r="N47" s="1286"/>
      <c r="O47" s="1287"/>
      <c r="P47" s="1285"/>
      <c r="Q47" s="1288"/>
      <c r="R47" s="1289">
        <f>SUM(R12:R46)</f>
        <v>2063538025</v>
      </c>
      <c r="S47" s="1285"/>
      <c r="T47" s="1285"/>
      <c r="U47" s="1290"/>
      <c r="V47" s="1291">
        <f>+V43+V40+V29+V24+V20+V17+V45</f>
        <v>2063538025</v>
      </c>
      <c r="W47" s="1292"/>
      <c r="X47" s="1293"/>
      <c r="Y47" s="1284"/>
      <c r="Z47" s="1284"/>
      <c r="AA47" s="1284"/>
      <c r="AB47" s="1284"/>
      <c r="AC47" s="1284"/>
      <c r="AD47" s="1284"/>
      <c r="AE47" s="1284"/>
      <c r="AF47" s="1284"/>
      <c r="AG47" s="1284"/>
      <c r="AH47" s="1284"/>
      <c r="AI47" s="1284"/>
      <c r="AJ47" s="1284"/>
      <c r="AK47" s="1284"/>
      <c r="AL47" s="1284"/>
      <c r="AM47" s="1284"/>
      <c r="AN47" s="1284"/>
      <c r="AO47" s="1294"/>
      <c r="AP47" s="1295"/>
      <c r="AQ47" s="1296"/>
    </row>
    <row r="54" spans="1:16170" s="374" customFormat="1" ht="20.25" x14ac:dyDescent="0.2">
      <c r="A54" s="1297"/>
      <c r="B54" s="1165"/>
      <c r="C54" s="1165"/>
      <c r="D54" s="1165"/>
      <c r="E54" s="1165"/>
      <c r="F54" s="1165"/>
      <c r="G54" s="1165"/>
      <c r="H54" s="1165"/>
      <c r="I54" s="1165"/>
      <c r="J54" s="1165"/>
      <c r="K54" s="370"/>
      <c r="L54" s="1229"/>
      <c r="M54" s="1229"/>
      <c r="N54" s="1229"/>
      <c r="O54" s="1298"/>
      <c r="P54" s="370"/>
      <c r="Q54" s="1299"/>
      <c r="R54" s="1300"/>
      <c r="S54" s="1300"/>
      <c r="T54" s="1300"/>
      <c r="U54" s="1300"/>
      <c r="V54" s="1301"/>
      <c r="X54" s="173"/>
      <c r="Y54" s="1165"/>
      <c r="Z54" s="1165"/>
      <c r="AA54" s="1165"/>
      <c r="AB54" s="1165"/>
      <c r="AC54" s="1165"/>
      <c r="AD54" s="1165"/>
      <c r="AE54" s="1165"/>
      <c r="AF54" s="1165"/>
      <c r="AG54" s="1165"/>
      <c r="AH54" s="1165"/>
      <c r="AI54" s="1165"/>
      <c r="AJ54" s="1165"/>
      <c r="AK54" s="1165"/>
      <c r="AL54" s="1165"/>
      <c r="AM54" s="1165"/>
      <c r="AN54" s="1165"/>
      <c r="AO54" s="375"/>
      <c r="AP54" s="1302"/>
      <c r="AQ54" s="1165"/>
      <c r="AR54" s="1165"/>
      <c r="AS54" s="1165"/>
      <c r="AT54" s="1165"/>
      <c r="AU54" s="1165"/>
      <c r="AV54" s="1165"/>
      <c r="AW54" s="1165"/>
      <c r="AX54" s="1165"/>
      <c r="AY54" s="1165"/>
      <c r="AZ54" s="1165"/>
      <c r="BA54" s="1165"/>
      <c r="BB54" s="1165"/>
      <c r="BC54" s="1165"/>
      <c r="BD54" s="1165"/>
      <c r="BE54" s="1165"/>
      <c r="BF54" s="1165"/>
      <c r="BG54" s="1165"/>
      <c r="BH54" s="1165"/>
      <c r="BI54" s="1165"/>
      <c r="BJ54" s="1165"/>
      <c r="BK54" s="1165"/>
      <c r="BL54" s="1165"/>
      <c r="BM54" s="1165"/>
      <c r="BN54" s="1165"/>
      <c r="BO54" s="1165"/>
      <c r="BP54" s="1165"/>
      <c r="BQ54" s="1165"/>
      <c r="BR54" s="1165"/>
      <c r="BS54" s="1165"/>
      <c r="BT54" s="1165"/>
      <c r="BU54" s="1165"/>
      <c r="BV54" s="1165"/>
      <c r="BW54" s="1165"/>
      <c r="BX54" s="1165"/>
      <c r="BY54" s="1165"/>
      <c r="BZ54" s="1165"/>
      <c r="CA54" s="1165"/>
      <c r="CB54" s="1165"/>
      <c r="CC54" s="1165"/>
      <c r="CD54" s="1165"/>
      <c r="CE54" s="1165"/>
      <c r="CF54" s="1165"/>
      <c r="CG54" s="1165"/>
      <c r="CH54" s="1165"/>
      <c r="CI54" s="1165"/>
      <c r="CJ54" s="1165"/>
      <c r="CK54" s="1165"/>
      <c r="CL54" s="1165"/>
      <c r="CM54" s="1165"/>
      <c r="CN54" s="1165"/>
      <c r="CO54" s="1165"/>
      <c r="CP54" s="1165"/>
      <c r="CQ54" s="1165"/>
      <c r="CR54" s="1165"/>
      <c r="CS54" s="1165"/>
      <c r="CT54" s="1165"/>
      <c r="CU54" s="1165"/>
      <c r="CV54" s="1165"/>
      <c r="CW54" s="1165"/>
      <c r="CX54" s="1165"/>
      <c r="CY54" s="1165"/>
      <c r="CZ54" s="1165"/>
      <c r="DA54" s="1165"/>
      <c r="DB54" s="1165"/>
      <c r="DC54" s="1165"/>
      <c r="DD54" s="1165"/>
      <c r="DE54" s="1165"/>
      <c r="DF54" s="1165"/>
      <c r="DG54" s="1165"/>
      <c r="DH54" s="1165"/>
      <c r="DI54" s="1165"/>
      <c r="DJ54" s="1165"/>
      <c r="DK54" s="1165"/>
      <c r="DL54" s="1165"/>
      <c r="DM54" s="1165"/>
      <c r="DN54" s="1165"/>
      <c r="DO54" s="1165"/>
      <c r="DP54" s="1165"/>
      <c r="DQ54" s="1165"/>
      <c r="DR54" s="1165"/>
      <c r="DS54" s="1165"/>
      <c r="DT54" s="1165"/>
      <c r="DU54" s="1165"/>
      <c r="DV54" s="1165"/>
      <c r="DW54" s="1165"/>
      <c r="DX54" s="1165"/>
      <c r="DY54" s="1165"/>
      <c r="DZ54" s="1165"/>
      <c r="EA54" s="1165"/>
      <c r="EB54" s="1165"/>
      <c r="EC54" s="1165"/>
      <c r="ED54" s="1165"/>
      <c r="EE54" s="1165"/>
      <c r="EF54" s="1165"/>
      <c r="EG54" s="1165"/>
      <c r="EH54" s="1165"/>
      <c r="EI54" s="1165"/>
      <c r="EJ54" s="1165"/>
      <c r="EK54" s="1165"/>
      <c r="EL54" s="1165"/>
      <c r="EM54" s="1165"/>
      <c r="EN54" s="1165"/>
      <c r="EO54" s="1165"/>
      <c r="EP54" s="1165"/>
      <c r="EQ54" s="1165"/>
      <c r="ER54" s="1165"/>
      <c r="ES54" s="1165"/>
      <c r="ET54" s="1165"/>
      <c r="EU54" s="1165"/>
      <c r="EV54" s="1165"/>
      <c r="EW54" s="1165"/>
      <c r="EX54" s="1165"/>
      <c r="EY54" s="1165"/>
      <c r="EZ54" s="1165"/>
      <c r="FA54" s="1165"/>
      <c r="FB54" s="1165"/>
      <c r="FC54" s="1165"/>
      <c r="FD54" s="1165"/>
      <c r="FE54" s="1165"/>
      <c r="FF54" s="1165"/>
      <c r="FG54" s="1165"/>
      <c r="FH54" s="1165"/>
      <c r="FI54" s="1165"/>
      <c r="FJ54" s="1165"/>
      <c r="FK54" s="1165"/>
      <c r="FL54" s="1165"/>
      <c r="FM54" s="1165"/>
      <c r="FN54" s="1165"/>
      <c r="FO54" s="1165"/>
      <c r="FP54" s="1165"/>
      <c r="FQ54" s="1165"/>
      <c r="FR54" s="1165"/>
      <c r="FS54" s="1165"/>
      <c r="FT54" s="1165"/>
      <c r="FU54" s="1165"/>
      <c r="FV54" s="1165"/>
      <c r="FW54" s="1165"/>
      <c r="FX54" s="1165"/>
      <c r="FY54" s="1165"/>
      <c r="FZ54" s="1165"/>
      <c r="GA54" s="1165"/>
      <c r="GB54" s="1165"/>
      <c r="GC54" s="1165"/>
      <c r="GD54" s="1165"/>
      <c r="GE54" s="1165"/>
      <c r="GF54" s="1165"/>
      <c r="GG54" s="1165"/>
      <c r="GH54" s="1165"/>
      <c r="GI54" s="1165"/>
      <c r="GJ54" s="1165"/>
      <c r="GK54" s="1165"/>
      <c r="GL54" s="1165"/>
      <c r="GM54" s="1165"/>
      <c r="GN54" s="1165"/>
      <c r="GO54" s="1165"/>
      <c r="GP54" s="1165"/>
      <c r="GQ54" s="1165"/>
      <c r="GR54" s="1165"/>
      <c r="GS54" s="1165"/>
      <c r="GT54" s="1165"/>
      <c r="GU54" s="1165"/>
      <c r="GV54" s="1165"/>
      <c r="GW54" s="1165"/>
      <c r="GX54" s="1165"/>
      <c r="GY54" s="1165"/>
      <c r="GZ54" s="1165"/>
      <c r="HA54" s="1165"/>
      <c r="HB54" s="1165"/>
      <c r="HC54" s="1165"/>
      <c r="HD54" s="1165"/>
      <c r="HE54" s="1165"/>
      <c r="HF54" s="1165"/>
      <c r="HG54" s="1165"/>
      <c r="HH54" s="1165"/>
      <c r="HI54" s="1165"/>
      <c r="HJ54" s="1165"/>
      <c r="HK54" s="1165"/>
      <c r="HL54" s="1165"/>
      <c r="HM54" s="1165"/>
      <c r="HN54" s="1165"/>
      <c r="HO54" s="1165"/>
      <c r="HP54" s="1165"/>
      <c r="HQ54" s="1165"/>
      <c r="HR54" s="1165"/>
      <c r="HS54" s="1165"/>
      <c r="HT54" s="1165"/>
      <c r="HU54" s="1165"/>
      <c r="HV54" s="1165"/>
      <c r="HW54" s="1165"/>
      <c r="HX54" s="1165"/>
      <c r="HY54" s="1165"/>
      <c r="HZ54" s="1165"/>
      <c r="IA54" s="1165"/>
      <c r="IB54" s="1165"/>
      <c r="IC54" s="1165"/>
      <c r="ID54" s="1165"/>
      <c r="IE54" s="1165"/>
      <c r="IF54" s="1165"/>
      <c r="IG54" s="1165"/>
      <c r="IH54" s="1165"/>
      <c r="II54" s="1165"/>
      <c r="IJ54" s="1165"/>
      <c r="IK54" s="1165"/>
      <c r="IL54" s="1165"/>
      <c r="IM54" s="1165"/>
      <c r="IN54" s="1165"/>
      <c r="IO54" s="1165"/>
      <c r="IP54" s="1165"/>
      <c r="IQ54" s="1165"/>
      <c r="IR54" s="1165"/>
      <c r="IS54" s="1165"/>
      <c r="IT54" s="1165"/>
      <c r="IU54" s="1165"/>
      <c r="IV54" s="1165"/>
      <c r="IW54" s="1165"/>
      <c r="IX54" s="1165"/>
      <c r="IY54" s="1165"/>
      <c r="IZ54" s="1165"/>
      <c r="JA54" s="1165"/>
      <c r="JB54" s="1165"/>
      <c r="JC54" s="1165"/>
      <c r="JD54" s="1165"/>
      <c r="JE54" s="1165"/>
      <c r="JF54" s="1165"/>
      <c r="JG54" s="1165"/>
      <c r="JH54" s="1165"/>
      <c r="JI54" s="1165"/>
      <c r="JJ54" s="1165"/>
      <c r="JK54" s="1165"/>
      <c r="JL54" s="1165"/>
      <c r="JM54" s="1165"/>
      <c r="JN54" s="1165"/>
      <c r="JO54" s="1165"/>
      <c r="JP54" s="1165"/>
      <c r="JQ54" s="1165"/>
      <c r="JR54" s="1165"/>
      <c r="JS54" s="1165"/>
      <c r="JT54" s="1165"/>
      <c r="JU54" s="1165"/>
      <c r="JV54" s="1165"/>
      <c r="JW54" s="1165"/>
      <c r="JX54" s="1165"/>
      <c r="JY54" s="1165"/>
      <c r="JZ54" s="1165"/>
      <c r="KA54" s="1165"/>
      <c r="KB54" s="1165"/>
      <c r="KC54" s="1165"/>
      <c r="KD54" s="1165"/>
      <c r="KE54" s="1165"/>
      <c r="KF54" s="1165"/>
      <c r="KG54" s="1165"/>
      <c r="KH54" s="1165"/>
      <c r="KI54" s="1165"/>
      <c r="KJ54" s="1165"/>
      <c r="KK54" s="1165"/>
      <c r="KL54" s="1165"/>
      <c r="KM54" s="1165"/>
      <c r="KN54" s="1165"/>
      <c r="KO54" s="1165"/>
      <c r="KP54" s="1165"/>
      <c r="KQ54" s="1165"/>
      <c r="KR54" s="1165"/>
      <c r="KS54" s="1165"/>
      <c r="KT54" s="1165"/>
      <c r="KU54" s="1165"/>
      <c r="KV54" s="1165"/>
      <c r="KW54" s="1165"/>
      <c r="KX54" s="1165"/>
      <c r="KY54" s="1165"/>
      <c r="KZ54" s="1165"/>
      <c r="LA54" s="1165"/>
      <c r="LB54" s="1165"/>
      <c r="LC54" s="1165"/>
      <c r="LD54" s="1165"/>
      <c r="LE54" s="1165"/>
      <c r="LF54" s="1165"/>
      <c r="LG54" s="1165"/>
      <c r="LH54" s="1165"/>
      <c r="LI54" s="1165"/>
      <c r="LJ54" s="1165"/>
      <c r="LK54" s="1165"/>
      <c r="LL54" s="1165"/>
      <c r="LM54" s="1165"/>
      <c r="LN54" s="1165"/>
      <c r="LO54" s="1165"/>
      <c r="LP54" s="1165"/>
      <c r="LQ54" s="1165"/>
      <c r="LR54" s="1165"/>
      <c r="LS54" s="1165"/>
      <c r="LT54" s="1165"/>
      <c r="LU54" s="1165"/>
      <c r="LV54" s="1165"/>
      <c r="LW54" s="1165"/>
      <c r="LX54" s="1165"/>
      <c r="LY54" s="1165"/>
      <c r="LZ54" s="1165"/>
      <c r="MA54" s="1165"/>
      <c r="MB54" s="1165"/>
      <c r="MC54" s="1165"/>
      <c r="MD54" s="1165"/>
      <c r="ME54" s="1165"/>
      <c r="MF54" s="1165"/>
      <c r="MG54" s="1165"/>
      <c r="MH54" s="1165"/>
      <c r="MI54" s="1165"/>
      <c r="MJ54" s="1165"/>
      <c r="MK54" s="1165"/>
      <c r="ML54" s="1165"/>
      <c r="MM54" s="1165"/>
      <c r="MN54" s="1165"/>
      <c r="MO54" s="1165"/>
      <c r="MP54" s="1165"/>
      <c r="MQ54" s="1165"/>
      <c r="MR54" s="1165"/>
      <c r="MS54" s="1165"/>
      <c r="MT54" s="1165"/>
      <c r="MU54" s="1165"/>
      <c r="MV54" s="1165"/>
      <c r="MW54" s="1165"/>
      <c r="MX54" s="1165"/>
      <c r="MY54" s="1165"/>
      <c r="MZ54" s="1165"/>
      <c r="NA54" s="1165"/>
      <c r="NB54" s="1165"/>
      <c r="NC54" s="1165"/>
      <c r="ND54" s="1165"/>
      <c r="NE54" s="1165"/>
      <c r="NF54" s="1165"/>
      <c r="NG54" s="1165"/>
      <c r="NH54" s="1165"/>
      <c r="NI54" s="1165"/>
      <c r="NJ54" s="1165"/>
      <c r="NK54" s="1165"/>
      <c r="NL54" s="1165"/>
      <c r="NM54" s="1165"/>
      <c r="NN54" s="1165"/>
      <c r="NO54" s="1165"/>
      <c r="NP54" s="1165"/>
      <c r="NQ54" s="1165"/>
      <c r="NR54" s="1165"/>
      <c r="NS54" s="1165"/>
      <c r="NT54" s="1165"/>
      <c r="NU54" s="1165"/>
      <c r="NV54" s="1165"/>
      <c r="NW54" s="1165"/>
      <c r="NX54" s="1165"/>
      <c r="NY54" s="1165"/>
      <c r="NZ54" s="1165"/>
      <c r="OA54" s="1165"/>
      <c r="OB54" s="1165"/>
      <c r="OC54" s="1165"/>
      <c r="OD54" s="1165"/>
      <c r="OE54" s="1165"/>
      <c r="OF54" s="1165"/>
      <c r="OG54" s="1165"/>
      <c r="OH54" s="1165"/>
      <c r="OI54" s="1165"/>
      <c r="OJ54" s="1165"/>
      <c r="OK54" s="1165"/>
      <c r="OL54" s="1165"/>
      <c r="OM54" s="1165"/>
      <c r="ON54" s="1165"/>
      <c r="OO54" s="1165"/>
      <c r="OP54" s="1165"/>
      <c r="OQ54" s="1165"/>
      <c r="OR54" s="1165"/>
      <c r="OS54" s="1165"/>
      <c r="OT54" s="1165"/>
      <c r="OU54" s="1165"/>
      <c r="OV54" s="1165"/>
      <c r="OW54" s="1165"/>
      <c r="OX54" s="1165"/>
      <c r="OY54" s="1165"/>
      <c r="OZ54" s="1165"/>
      <c r="PA54" s="1165"/>
      <c r="PB54" s="1165"/>
      <c r="PC54" s="1165"/>
      <c r="PD54" s="1165"/>
      <c r="PE54" s="1165"/>
      <c r="PF54" s="1165"/>
      <c r="PG54" s="1165"/>
      <c r="PH54" s="1165"/>
      <c r="PI54" s="1165"/>
      <c r="PJ54" s="1165"/>
      <c r="PK54" s="1165"/>
      <c r="PL54" s="1165"/>
      <c r="PM54" s="1165"/>
      <c r="PN54" s="1165"/>
      <c r="PO54" s="1165"/>
      <c r="PP54" s="1165"/>
      <c r="PQ54" s="1165"/>
      <c r="PR54" s="1165"/>
      <c r="PS54" s="1165"/>
      <c r="PT54" s="1165"/>
      <c r="PU54" s="1165"/>
      <c r="PV54" s="1165"/>
      <c r="PW54" s="1165"/>
      <c r="PX54" s="1165"/>
      <c r="PY54" s="1165"/>
      <c r="PZ54" s="1165"/>
      <c r="QA54" s="1165"/>
      <c r="QB54" s="1165"/>
      <c r="QC54" s="1165"/>
      <c r="QD54" s="1165"/>
      <c r="QE54" s="1165"/>
      <c r="QF54" s="1165"/>
      <c r="QG54" s="1165"/>
      <c r="QH54" s="1165"/>
      <c r="QI54" s="1165"/>
      <c r="QJ54" s="1165"/>
      <c r="QK54" s="1165"/>
      <c r="QL54" s="1165"/>
      <c r="QM54" s="1165"/>
      <c r="QN54" s="1165"/>
      <c r="QO54" s="1165"/>
      <c r="QP54" s="1165"/>
      <c r="QQ54" s="1165"/>
      <c r="QR54" s="1165"/>
      <c r="QS54" s="1165"/>
      <c r="QT54" s="1165"/>
      <c r="QU54" s="1165"/>
      <c r="QV54" s="1165"/>
      <c r="QW54" s="1165"/>
      <c r="QX54" s="1165"/>
      <c r="QY54" s="1165"/>
      <c r="QZ54" s="1165"/>
      <c r="RA54" s="1165"/>
      <c r="RB54" s="1165"/>
      <c r="RC54" s="1165"/>
      <c r="RD54" s="1165"/>
      <c r="RE54" s="1165"/>
      <c r="RF54" s="1165"/>
      <c r="RG54" s="1165"/>
      <c r="RH54" s="1165"/>
      <c r="RI54" s="1165"/>
      <c r="RJ54" s="1165"/>
      <c r="RK54" s="1165"/>
      <c r="RL54" s="1165"/>
      <c r="RM54" s="1165"/>
      <c r="RN54" s="1165"/>
      <c r="RO54" s="1165"/>
      <c r="RP54" s="1165"/>
      <c r="RQ54" s="1165"/>
      <c r="RR54" s="1165"/>
      <c r="RS54" s="1165"/>
      <c r="RT54" s="1165"/>
      <c r="RU54" s="1165"/>
      <c r="RV54" s="1165"/>
      <c r="RW54" s="1165"/>
      <c r="RX54" s="1165"/>
      <c r="RY54" s="1165"/>
      <c r="RZ54" s="1165"/>
      <c r="SA54" s="1165"/>
      <c r="SB54" s="1165"/>
      <c r="SC54" s="1165"/>
      <c r="SD54" s="1165"/>
      <c r="SE54" s="1165"/>
      <c r="SF54" s="1165"/>
      <c r="SG54" s="1165"/>
      <c r="SH54" s="1165"/>
      <c r="SI54" s="1165"/>
      <c r="SJ54" s="1165"/>
      <c r="SK54" s="1165"/>
      <c r="SL54" s="1165"/>
      <c r="SM54" s="1165"/>
      <c r="SN54" s="1165"/>
      <c r="SO54" s="1165"/>
      <c r="SP54" s="1165"/>
      <c r="SQ54" s="1165"/>
      <c r="SR54" s="1165"/>
      <c r="SS54" s="1165"/>
      <c r="ST54" s="1165"/>
      <c r="SU54" s="1165"/>
      <c r="SV54" s="1165"/>
      <c r="SW54" s="1165"/>
      <c r="SX54" s="1165"/>
      <c r="SY54" s="1165"/>
      <c r="SZ54" s="1165"/>
      <c r="TA54" s="1165"/>
      <c r="TB54" s="1165"/>
      <c r="TC54" s="1165"/>
      <c r="TD54" s="1165"/>
      <c r="TE54" s="1165"/>
      <c r="TF54" s="1165"/>
      <c r="TG54" s="1165"/>
      <c r="TH54" s="1165"/>
      <c r="TI54" s="1165"/>
      <c r="TJ54" s="1165"/>
      <c r="TK54" s="1165"/>
      <c r="TL54" s="1165"/>
      <c r="TM54" s="1165"/>
      <c r="TN54" s="1165"/>
      <c r="TO54" s="1165"/>
      <c r="TP54" s="1165"/>
      <c r="TQ54" s="1165"/>
      <c r="TR54" s="1165"/>
      <c r="TS54" s="1165"/>
      <c r="TT54" s="1165"/>
      <c r="TU54" s="1165"/>
      <c r="TV54" s="1165"/>
      <c r="TW54" s="1165"/>
      <c r="TX54" s="1165"/>
      <c r="TY54" s="1165"/>
      <c r="TZ54" s="1165"/>
      <c r="UA54" s="1165"/>
      <c r="UB54" s="1165"/>
      <c r="UC54" s="1165"/>
      <c r="UD54" s="1165"/>
      <c r="UE54" s="1165"/>
      <c r="UF54" s="1165"/>
      <c r="UG54" s="1165"/>
      <c r="UH54" s="1165"/>
      <c r="UI54" s="1165"/>
      <c r="UJ54" s="1165"/>
      <c r="UK54" s="1165"/>
      <c r="UL54" s="1165"/>
      <c r="UM54" s="1165"/>
      <c r="UN54" s="1165"/>
      <c r="UO54" s="1165"/>
      <c r="UP54" s="1165"/>
      <c r="UQ54" s="1165"/>
      <c r="UR54" s="1165"/>
      <c r="US54" s="1165"/>
      <c r="UT54" s="1165"/>
      <c r="UU54" s="1165"/>
      <c r="UV54" s="1165"/>
      <c r="UW54" s="1165"/>
      <c r="UX54" s="1165"/>
      <c r="UY54" s="1165"/>
      <c r="UZ54" s="1165"/>
      <c r="VA54" s="1165"/>
      <c r="VB54" s="1165"/>
      <c r="VC54" s="1165"/>
      <c r="VD54" s="1165"/>
      <c r="VE54" s="1165"/>
      <c r="VF54" s="1165"/>
      <c r="VG54" s="1165"/>
      <c r="VH54" s="1165"/>
      <c r="VI54" s="1165"/>
      <c r="VJ54" s="1165"/>
      <c r="VK54" s="1165"/>
      <c r="VL54" s="1165"/>
      <c r="VM54" s="1165"/>
      <c r="VN54" s="1165"/>
      <c r="VO54" s="1165"/>
      <c r="VP54" s="1165"/>
      <c r="VQ54" s="1165"/>
      <c r="VR54" s="1165"/>
      <c r="VS54" s="1165"/>
      <c r="VT54" s="1165"/>
      <c r="VU54" s="1165"/>
      <c r="VV54" s="1165"/>
      <c r="VW54" s="1165"/>
      <c r="VX54" s="1165"/>
      <c r="VY54" s="1165"/>
      <c r="VZ54" s="1165"/>
      <c r="WA54" s="1165"/>
      <c r="WB54" s="1165"/>
      <c r="WC54" s="1165"/>
      <c r="WD54" s="1165"/>
      <c r="WE54" s="1165"/>
      <c r="WF54" s="1165"/>
      <c r="WG54" s="1165"/>
      <c r="WH54" s="1165"/>
      <c r="WI54" s="1165"/>
      <c r="WJ54" s="1165"/>
      <c r="WK54" s="1165"/>
      <c r="WL54" s="1165"/>
      <c r="WM54" s="1165"/>
      <c r="WN54" s="1165"/>
      <c r="WO54" s="1165"/>
      <c r="WP54" s="1165"/>
      <c r="WQ54" s="1165"/>
      <c r="WR54" s="1165"/>
      <c r="WS54" s="1165"/>
      <c r="WT54" s="1165"/>
      <c r="WU54" s="1165"/>
      <c r="WV54" s="1165"/>
      <c r="WW54" s="1165"/>
      <c r="WX54" s="1165"/>
      <c r="WY54" s="1165"/>
      <c r="WZ54" s="1165"/>
      <c r="XA54" s="1165"/>
      <c r="XB54" s="1165"/>
      <c r="XC54" s="1165"/>
      <c r="XD54" s="1165"/>
      <c r="XE54" s="1165"/>
      <c r="XF54" s="1165"/>
      <c r="XG54" s="1165"/>
      <c r="XH54" s="1165"/>
      <c r="XI54" s="1165"/>
      <c r="XJ54" s="1165"/>
      <c r="XK54" s="1165"/>
      <c r="XL54" s="1165"/>
      <c r="XM54" s="1165"/>
      <c r="XN54" s="1165"/>
      <c r="XO54" s="1165"/>
      <c r="XP54" s="1165"/>
      <c r="XQ54" s="1165"/>
      <c r="XR54" s="1165"/>
      <c r="XS54" s="1165"/>
      <c r="XT54" s="1165"/>
      <c r="XU54" s="1165"/>
      <c r="XV54" s="1165"/>
      <c r="XW54" s="1165"/>
      <c r="XX54" s="1165"/>
      <c r="XY54" s="1165"/>
      <c r="XZ54" s="1165"/>
      <c r="YA54" s="1165"/>
      <c r="YB54" s="1165"/>
      <c r="YC54" s="1165"/>
      <c r="YD54" s="1165"/>
      <c r="YE54" s="1165"/>
      <c r="YF54" s="1165"/>
      <c r="YG54" s="1165"/>
      <c r="YH54" s="1165"/>
      <c r="YI54" s="1165"/>
      <c r="YJ54" s="1165"/>
      <c r="YK54" s="1165"/>
      <c r="YL54" s="1165"/>
      <c r="YM54" s="1165"/>
      <c r="YN54" s="1165"/>
      <c r="YO54" s="1165"/>
      <c r="YP54" s="1165"/>
      <c r="YQ54" s="1165"/>
      <c r="YR54" s="1165"/>
      <c r="YS54" s="1165"/>
      <c r="YT54" s="1165"/>
      <c r="YU54" s="1165"/>
      <c r="YV54" s="1165"/>
      <c r="YW54" s="1165"/>
      <c r="YX54" s="1165"/>
      <c r="YY54" s="1165"/>
      <c r="YZ54" s="1165"/>
      <c r="ZA54" s="1165"/>
      <c r="ZB54" s="1165"/>
      <c r="ZC54" s="1165"/>
      <c r="ZD54" s="1165"/>
      <c r="ZE54" s="1165"/>
      <c r="ZF54" s="1165"/>
      <c r="ZG54" s="1165"/>
      <c r="ZH54" s="1165"/>
      <c r="ZI54" s="1165"/>
      <c r="ZJ54" s="1165"/>
      <c r="ZK54" s="1165"/>
      <c r="ZL54" s="1165"/>
      <c r="ZM54" s="1165"/>
      <c r="ZN54" s="1165"/>
      <c r="ZO54" s="1165"/>
      <c r="ZP54" s="1165"/>
      <c r="ZQ54" s="1165"/>
      <c r="ZR54" s="1165"/>
      <c r="ZS54" s="1165"/>
      <c r="ZT54" s="1165"/>
      <c r="ZU54" s="1165"/>
      <c r="ZV54" s="1165"/>
      <c r="ZW54" s="1165"/>
      <c r="ZX54" s="1165"/>
      <c r="ZY54" s="1165"/>
      <c r="ZZ54" s="1165"/>
      <c r="AAA54" s="1165"/>
      <c r="AAB54" s="1165"/>
      <c r="AAC54" s="1165"/>
      <c r="AAD54" s="1165"/>
      <c r="AAE54" s="1165"/>
      <c r="AAF54" s="1165"/>
      <c r="AAG54" s="1165"/>
      <c r="AAH54" s="1165"/>
      <c r="AAI54" s="1165"/>
      <c r="AAJ54" s="1165"/>
      <c r="AAK54" s="1165"/>
      <c r="AAL54" s="1165"/>
      <c r="AAM54" s="1165"/>
      <c r="AAN54" s="1165"/>
      <c r="AAO54" s="1165"/>
      <c r="AAP54" s="1165"/>
      <c r="AAQ54" s="1165"/>
      <c r="AAR54" s="1165"/>
      <c r="AAS54" s="1165"/>
      <c r="AAT54" s="1165"/>
      <c r="AAU54" s="1165"/>
      <c r="AAV54" s="1165"/>
      <c r="AAW54" s="1165"/>
      <c r="AAX54" s="1165"/>
      <c r="AAY54" s="1165"/>
      <c r="AAZ54" s="1165"/>
      <c r="ABA54" s="1165"/>
      <c r="ABB54" s="1165"/>
      <c r="ABC54" s="1165"/>
      <c r="ABD54" s="1165"/>
      <c r="ABE54" s="1165"/>
      <c r="ABF54" s="1165"/>
      <c r="ABG54" s="1165"/>
      <c r="ABH54" s="1165"/>
      <c r="ABI54" s="1165"/>
      <c r="ABJ54" s="1165"/>
      <c r="ABK54" s="1165"/>
      <c r="ABL54" s="1165"/>
      <c r="ABM54" s="1165"/>
      <c r="ABN54" s="1165"/>
      <c r="ABO54" s="1165"/>
      <c r="ABP54" s="1165"/>
      <c r="ABQ54" s="1165"/>
      <c r="ABR54" s="1165"/>
      <c r="ABS54" s="1165"/>
      <c r="ABT54" s="1165"/>
      <c r="ABU54" s="1165"/>
      <c r="ABV54" s="1165"/>
      <c r="ABW54" s="1165"/>
      <c r="ABX54" s="1165"/>
      <c r="ABY54" s="1165"/>
      <c r="ABZ54" s="1165"/>
      <c r="ACA54" s="1165"/>
      <c r="ACB54" s="1165"/>
      <c r="ACC54" s="1165"/>
      <c r="ACD54" s="1165"/>
      <c r="ACE54" s="1165"/>
      <c r="ACF54" s="1165"/>
      <c r="ACG54" s="1165"/>
      <c r="ACH54" s="1165"/>
      <c r="ACI54" s="1165"/>
      <c r="ACJ54" s="1165"/>
      <c r="ACK54" s="1165"/>
      <c r="ACL54" s="1165"/>
      <c r="ACM54" s="1165"/>
      <c r="ACN54" s="1165"/>
      <c r="ACO54" s="1165"/>
      <c r="ACP54" s="1165"/>
      <c r="ACQ54" s="1165"/>
      <c r="ACR54" s="1165"/>
      <c r="ACS54" s="1165"/>
      <c r="ACT54" s="1165"/>
      <c r="ACU54" s="1165"/>
      <c r="ACV54" s="1165"/>
      <c r="ACW54" s="1165"/>
      <c r="ACX54" s="1165"/>
      <c r="ACY54" s="1165"/>
      <c r="ACZ54" s="1165"/>
      <c r="ADA54" s="1165"/>
      <c r="ADB54" s="1165"/>
      <c r="ADC54" s="1165"/>
      <c r="ADD54" s="1165"/>
      <c r="ADE54" s="1165"/>
      <c r="ADF54" s="1165"/>
      <c r="ADG54" s="1165"/>
      <c r="ADH54" s="1165"/>
      <c r="ADI54" s="1165"/>
      <c r="ADJ54" s="1165"/>
      <c r="ADK54" s="1165"/>
      <c r="ADL54" s="1165"/>
      <c r="ADM54" s="1165"/>
      <c r="ADN54" s="1165"/>
      <c r="ADO54" s="1165"/>
      <c r="ADP54" s="1165"/>
      <c r="ADQ54" s="1165"/>
      <c r="ADR54" s="1165"/>
      <c r="ADS54" s="1165"/>
      <c r="ADT54" s="1165"/>
      <c r="ADU54" s="1165"/>
      <c r="ADV54" s="1165"/>
      <c r="ADW54" s="1165"/>
      <c r="ADX54" s="1165"/>
      <c r="ADY54" s="1165"/>
      <c r="ADZ54" s="1165"/>
      <c r="AEA54" s="1165"/>
      <c r="AEB54" s="1165"/>
      <c r="AEC54" s="1165"/>
      <c r="AED54" s="1165"/>
      <c r="AEE54" s="1165"/>
      <c r="AEF54" s="1165"/>
      <c r="AEG54" s="1165"/>
      <c r="AEH54" s="1165"/>
      <c r="AEI54" s="1165"/>
      <c r="AEJ54" s="1165"/>
      <c r="AEK54" s="1165"/>
      <c r="AEL54" s="1165"/>
      <c r="AEM54" s="1165"/>
      <c r="AEN54" s="1165"/>
      <c r="AEO54" s="1165"/>
      <c r="AEP54" s="1165"/>
      <c r="AEQ54" s="1165"/>
      <c r="AER54" s="1165"/>
      <c r="AES54" s="1165"/>
      <c r="AET54" s="1165"/>
      <c r="AEU54" s="1165"/>
      <c r="AEV54" s="1165"/>
      <c r="AEW54" s="1165"/>
      <c r="AEX54" s="1165"/>
      <c r="AEY54" s="1165"/>
      <c r="AEZ54" s="1165"/>
      <c r="AFA54" s="1165"/>
      <c r="AFB54" s="1165"/>
      <c r="AFC54" s="1165"/>
      <c r="AFD54" s="1165"/>
      <c r="AFE54" s="1165"/>
      <c r="AFF54" s="1165"/>
      <c r="AFG54" s="1165"/>
      <c r="AFH54" s="1165"/>
      <c r="AFI54" s="1165"/>
      <c r="AFJ54" s="1165"/>
      <c r="AFK54" s="1165"/>
      <c r="AFL54" s="1165"/>
      <c r="AFM54" s="1165"/>
      <c r="AFN54" s="1165"/>
      <c r="AFO54" s="1165"/>
      <c r="AFP54" s="1165"/>
      <c r="AFQ54" s="1165"/>
      <c r="AFR54" s="1165"/>
      <c r="AFS54" s="1165"/>
      <c r="AFT54" s="1165"/>
      <c r="AFU54" s="1165"/>
      <c r="AFV54" s="1165"/>
      <c r="AFW54" s="1165"/>
      <c r="AFX54" s="1165"/>
      <c r="AFY54" s="1165"/>
      <c r="AFZ54" s="1165"/>
      <c r="AGA54" s="1165"/>
      <c r="AGB54" s="1165"/>
      <c r="AGC54" s="1165"/>
      <c r="AGD54" s="1165"/>
      <c r="AGE54" s="1165"/>
      <c r="AGF54" s="1165"/>
      <c r="AGG54" s="1165"/>
      <c r="AGH54" s="1165"/>
      <c r="AGI54" s="1165"/>
      <c r="AGJ54" s="1165"/>
      <c r="AGK54" s="1165"/>
      <c r="AGL54" s="1165"/>
      <c r="AGM54" s="1165"/>
      <c r="AGN54" s="1165"/>
      <c r="AGO54" s="1165"/>
      <c r="AGP54" s="1165"/>
      <c r="AGQ54" s="1165"/>
      <c r="AGR54" s="1165"/>
      <c r="AGS54" s="1165"/>
      <c r="AGT54" s="1165"/>
      <c r="AGU54" s="1165"/>
      <c r="AGV54" s="1165"/>
      <c r="AGW54" s="1165"/>
      <c r="AGX54" s="1165"/>
      <c r="AGY54" s="1165"/>
      <c r="AGZ54" s="1165"/>
      <c r="AHA54" s="1165"/>
      <c r="AHB54" s="1165"/>
      <c r="AHC54" s="1165"/>
      <c r="AHD54" s="1165"/>
      <c r="AHE54" s="1165"/>
      <c r="AHF54" s="1165"/>
      <c r="AHG54" s="1165"/>
      <c r="AHH54" s="1165"/>
      <c r="AHI54" s="1165"/>
      <c r="AHJ54" s="1165"/>
      <c r="AHK54" s="1165"/>
      <c r="AHL54" s="1165"/>
      <c r="AHM54" s="1165"/>
      <c r="AHN54" s="1165"/>
      <c r="AHO54" s="1165"/>
      <c r="AHP54" s="1165"/>
      <c r="AHQ54" s="1165"/>
      <c r="AHR54" s="1165"/>
      <c r="AHS54" s="1165"/>
      <c r="AHT54" s="1165"/>
      <c r="AHU54" s="1165"/>
      <c r="AHV54" s="1165"/>
      <c r="AHW54" s="1165"/>
      <c r="AHX54" s="1165"/>
      <c r="AHY54" s="1165"/>
      <c r="AHZ54" s="1165"/>
      <c r="AIA54" s="1165"/>
      <c r="AIB54" s="1165"/>
      <c r="AIC54" s="1165"/>
      <c r="AID54" s="1165"/>
      <c r="AIE54" s="1165"/>
      <c r="AIF54" s="1165"/>
      <c r="AIG54" s="1165"/>
      <c r="AIH54" s="1165"/>
      <c r="AII54" s="1165"/>
      <c r="AIJ54" s="1165"/>
      <c r="AIK54" s="1165"/>
      <c r="AIL54" s="1165"/>
      <c r="AIM54" s="1165"/>
      <c r="AIN54" s="1165"/>
      <c r="AIO54" s="1165"/>
      <c r="AIP54" s="1165"/>
      <c r="AIQ54" s="1165"/>
      <c r="AIR54" s="1165"/>
      <c r="AIS54" s="1165"/>
      <c r="AIT54" s="1165"/>
      <c r="AIU54" s="1165"/>
      <c r="AIV54" s="1165"/>
      <c r="AIW54" s="1165"/>
      <c r="AIX54" s="1165"/>
      <c r="AIY54" s="1165"/>
      <c r="AIZ54" s="1165"/>
      <c r="AJA54" s="1165"/>
      <c r="AJB54" s="1165"/>
      <c r="AJC54" s="1165"/>
      <c r="AJD54" s="1165"/>
      <c r="AJE54" s="1165"/>
      <c r="AJF54" s="1165"/>
      <c r="AJG54" s="1165"/>
      <c r="AJH54" s="1165"/>
      <c r="AJI54" s="1165"/>
      <c r="AJJ54" s="1165"/>
      <c r="AJK54" s="1165"/>
      <c r="AJL54" s="1165"/>
      <c r="AJM54" s="1165"/>
      <c r="AJN54" s="1165"/>
      <c r="AJO54" s="1165"/>
      <c r="AJP54" s="1165"/>
      <c r="AJQ54" s="1165"/>
      <c r="AJR54" s="1165"/>
      <c r="AJS54" s="1165"/>
      <c r="AJT54" s="1165"/>
      <c r="AJU54" s="1165"/>
      <c r="AJV54" s="1165"/>
      <c r="AJW54" s="1165"/>
      <c r="AJX54" s="1165"/>
      <c r="AJY54" s="1165"/>
      <c r="AJZ54" s="1165"/>
      <c r="AKA54" s="1165"/>
      <c r="AKB54" s="1165"/>
      <c r="AKC54" s="1165"/>
      <c r="AKD54" s="1165"/>
      <c r="AKE54" s="1165"/>
      <c r="AKF54" s="1165"/>
      <c r="AKG54" s="1165"/>
      <c r="AKH54" s="1165"/>
      <c r="AKI54" s="1165"/>
      <c r="AKJ54" s="1165"/>
      <c r="AKK54" s="1165"/>
      <c r="AKL54" s="1165"/>
      <c r="AKM54" s="1165"/>
      <c r="AKN54" s="1165"/>
      <c r="AKO54" s="1165"/>
      <c r="AKP54" s="1165"/>
      <c r="AKQ54" s="1165"/>
      <c r="AKR54" s="1165"/>
      <c r="AKS54" s="1165"/>
      <c r="AKT54" s="1165"/>
      <c r="AKU54" s="1165"/>
      <c r="AKV54" s="1165"/>
      <c r="AKW54" s="1165"/>
      <c r="AKX54" s="1165"/>
      <c r="AKY54" s="1165"/>
      <c r="AKZ54" s="1165"/>
      <c r="ALA54" s="1165"/>
      <c r="ALB54" s="1165"/>
      <c r="ALC54" s="1165"/>
      <c r="ALD54" s="1165"/>
      <c r="ALE54" s="1165"/>
      <c r="ALF54" s="1165"/>
      <c r="ALG54" s="1165"/>
      <c r="ALH54" s="1165"/>
      <c r="ALI54" s="1165"/>
      <c r="ALJ54" s="1165"/>
      <c r="ALK54" s="1165"/>
      <c r="ALL54" s="1165"/>
      <c r="ALM54" s="1165"/>
      <c r="ALN54" s="1165"/>
      <c r="ALO54" s="1165"/>
      <c r="ALP54" s="1165"/>
      <c r="ALQ54" s="1165"/>
      <c r="ALR54" s="1165"/>
      <c r="ALS54" s="1165"/>
      <c r="ALT54" s="1165"/>
      <c r="ALU54" s="1165"/>
      <c r="ALV54" s="1165"/>
      <c r="ALW54" s="1165"/>
      <c r="ALX54" s="1165"/>
      <c r="ALY54" s="1165"/>
      <c r="ALZ54" s="1165"/>
      <c r="AMA54" s="1165"/>
      <c r="AMB54" s="1165"/>
      <c r="AMC54" s="1165"/>
      <c r="AMD54" s="1165"/>
      <c r="AME54" s="1165"/>
      <c r="AMF54" s="1165"/>
      <c r="AMG54" s="1165"/>
      <c r="AMH54" s="1165"/>
      <c r="AMI54" s="1165"/>
      <c r="AMJ54" s="1165"/>
      <c r="AMK54" s="1165"/>
      <c r="AML54" s="1165"/>
      <c r="AMM54" s="1165"/>
      <c r="AMN54" s="1165"/>
      <c r="AMO54" s="1165"/>
      <c r="AMP54" s="1165"/>
      <c r="AMQ54" s="1165"/>
      <c r="AMR54" s="1165"/>
      <c r="AMS54" s="1165"/>
      <c r="AMT54" s="1165"/>
      <c r="AMU54" s="1165"/>
      <c r="AMV54" s="1165"/>
      <c r="AMW54" s="1165"/>
      <c r="AMX54" s="1165"/>
      <c r="AMY54" s="1165"/>
      <c r="AMZ54" s="1165"/>
      <c r="ANA54" s="1165"/>
      <c r="ANB54" s="1165"/>
      <c r="ANC54" s="1165"/>
      <c r="AND54" s="1165"/>
      <c r="ANE54" s="1165"/>
      <c r="ANF54" s="1165"/>
      <c r="ANG54" s="1165"/>
      <c r="ANH54" s="1165"/>
      <c r="ANI54" s="1165"/>
      <c r="ANJ54" s="1165"/>
      <c r="ANK54" s="1165"/>
      <c r="ANL54" s="1165"/>
      <c r="ANM54" s="1165"/>
      <c r="ANN54" s="1165"/>
      <c r="ANO54" s="1165"/>
      <c r="ANP54" s="1165"/>
      <c r="ANQ54" s="1165"/>
      <c r="ANR54" s="1165"/>
      <c r="ANS54" s="1165"/>
      <c r="ANT54" s="1165"/>
      <c r="ANU54" s="1165"/>
      <c r="ANV54" s="1165"/>
      <c r="ANW54" s="1165"/>
      <c r="ANX54" s="1165"/>
      <c r="ANY54" s="1165"/>
      <c r="ANZ54" s="1165"/>
      <c r="AOA54" s="1165"/>
      <c r="AOB54" s="1165"/>
      <c r="AOC54" s="1165"/>
      <c r="AOD54" s="1165"/>
      <c r="AOE54" s="1165"/>
      <c r="AOF54" s="1165"/>
      <c r="AOG54" s="1165"/>
      <c r="AOH54" s="1165"/>
      <c r="AOI54" s="1165"/>
      <c r="AOJ54" s="1165"/>
      <c r="AOK54" s="1165"/>
      <c r="AOL54" s="1165"/>
      <c r="AOM54" s="1165"/>
      <c r="AON54" s="1165"/>
      <c r="AOO54" s="1165"/>
      <c r="AOP54" s="1165"/>
      <c r="AOQ54" s="1165"/>
      <c r="AOR54" s="1165"/>
      <c r="AOS54" s="1165"/>
      <c r="AOT54" s="1165"/>
      <c r="AOU54" s="1165"/>
      <c r="AOV54" s="1165"/>
      <c r="AOW54" s="1165"/>
      <c r="AOX54" s="1165"/>
      <c r="AOY54" s="1165"/>
      <c r="AOZ54" s="1165"/>
      <c r="APA54" s="1165"/>
      <c r="APB54" s="1165"/>
      <c r="APC54" s="1165"/>
      <c r="APD54" s="1165"/>
      <c r="APE54" s="1165"/>
      <c r="APF54" s="1165"/>
      <c r="APG54" s="1165"/>
      <c r="APH54" s="1165"/>
      <c r="API54" s="1165"/>
      <c r="APJ54" s="1165"/>
      <c r="APK54" s="1165"/>
      <c r="APL54" s="1165"/>
      <c r="APM54" s="1165"/>
      <c r="APN54" s="1165"/>
      <c r="APO54" s="1165"/>
      <c r="APP54" s="1165"/>
      <c r="APQ54" s="1165"/>
      <c r="APR54" s="1165"/>
      <c r="APS54" s="1165"/>
      <c r="APT54" s="1165"/>
      <c r="APU54" s="1165"/>
      <c r="APV54" s="1165"/>
      <c r="APW54" s="1165"/>
      <c r="APX54" s="1165"/>
      <c r="APY54" s="1165"/>
      <c r="APZ54" s="1165"/>
      <c r="AQA54" s="1165"/>
      <c r="AQB54" s="1165"/>
      <c r="AQC54" s="1165"/>
      <c r="AQD54" s="1165"/>
      <c r="AQE54" s="1165"/>
      <c r="AQF54" s="1165"/>
      <c r="AQG54" s="1165"/>
      <c r="AQH54" s="1165"/>
      <c r="AQI54" s="1165"/>
      <c r="AQJ54" s="1165"/>
      <c r="AQK54" s="1165"/>
      <c r="AQL54" s="1165"/>
      <c r="AQM54" s="1165"/>
      <c r="AQN54" s="1165"/>
      <c r="AQO54" s="1165"/>
      <c r="AQP54" s="1165"/>
      <c r="AQQ54" s="1165"/>
      <c r="AQR54" s="1165"/>
      <c r="AQS54" s="1165"/>
      <c r="AQT54" s="1165"/>
      <c r="AQU54" s="1165"/>
      <c r="AQV54" s="1165"/>
      <c r="AQW54" s="1165"/>
      <c r="AQX54" s="1165"/>
      <c r="AQY54" s="1165"/>
      <c r="AQZ54" s="1165"/>
      <c r="ARA54" s="1165"/>
      <c r="ARB54" s="1165"/>
      <c r="ARC54" s="1165"/>
      <c r="ARD54" s="1165"/>
      <c r="ARE54" s="1165"/>
      <c r="ARF54" s="1165"/>
      <c r="ARG54" s="1165"/>
      <c r="ARH54" s="1165"/>
      <c r="ARI54" s="1165"/>
      <c r="ARJ54" s="1165"/>
      <c r="ARK54" s="1165"/>
      <c r="ARL54" s="1165"/>
      <c r="ARM54" s="1165"/>
      <c r="ARN54" s="1165"/>
      <c r="ARO54" s="1165"/>
      <c r="ARP54" s="1165"/>
      <c r="ARQ54" s="1165"/>
      <c r="ARR54" s="1165"/>
      <c r="ARS54" s="1165"/>
      <c r="ART54" s="1165"/>
      <c r="ARU54" s="1165"/>
      <c r="ARV54" s="1165"/>
      <c r="ARW54" s="1165"/>
      <c r="ARX54" s="1165"/>
      <c r="ARY54" s="1165"/>
      <c r="ARZ54" s="1165"/>
      <c r="ASA54" s="1165"/>
      <c r="ASB54" s="1165"/>
      <c r="ASC54" s="1165"/>
      <c r="ASD54" s="1165"/>
      <c r="ASE54" s="1165"/>
      <c r="ASF54" s="1165"/>
      <c r="ASG54" s="1165"/>
      <c r="ASH54" s="1165"/>
      <c r="ASI54" s="1165"/>
      <c r="ASJ54" s="1165"/>
      <c r="ASK54" s="1165"/>
      <c r="ASL54" s="1165"/>
      <c r="ASM54" s="1165"/>
      <c r="ASN54" s="1165"/>
      <c r="ASO54" s="1165"/>
      <c r="ASP54" s="1165"/>
      <c r="ASQ54" s="1165"/>
      <c r="ASR54" s="1165"/>
      <c r="ASS54" s="1165"/>
      <c r="AST54" s="1165"/>
      <c r="ASU54" s="1165"/>
      <c r="ASV54" s="1165"/>
      <c r="ASW54" s="1165"/>
      <c r="ASX54" s="1165"/>
      <c r="ASY54" s="1165"/>
      <c r="ASZ54" s="1165"/>
      <c r="ATA54" s="1165"/>
      <c r="ATB54" s="1165"/>
      <c r="ATC54" s="1165"/>
      <c r="ATD54" s="1165"/>
      <c r="ATE54" s="1165"/>
      <c r="ATF54" s="1165"/>
      <c r="ATG54" s="1165"/>
      <c r="ATH54" s="1165"/>
      <c r="ATI54" s="1165"/>
      <c r="ATJ54" s="1165"/>
      <c r="ATK54" s="1165"/>
      <c r="ATL54" s="1165"/>
      <c r="ATM54" s="1165"/>
      <c r="ATN54" s="1165"/>
      <c r="ATO54" s="1165"/>
      <c r="ATP54" s="1165"/>
      <c r="ATQ54" s="1165"/>
      <c r="ATR54" s="1165"/>
      <c r="ATS54" s="1165"/>
      <c r="ATT54" s="1165"/>
      <c r="ATU54" s="1165"/>
      <c r="ATV54" s="1165"/>
      <c r="ATW54" s="1165"/>
      <c r="ATX54" s="1165"/>
      <c r="ATY54" s="1165"/>
      <c r="ATZ54" s="1165"/>
      <c r="AUA54" s="1165"/>
      <c r="AUB54" s="1165"/>
      <c r="AUC54" s="1165"/>
      <c r="AUD54" s="1165"/>
      <c r="AUE54" s="1165"/>
      <c r="AUF54" s="1165"/>
      <c r="AUG54" s="1165"/>
      <c r="AUH54" s="1165"/>
      <c r="AUI54" s="1165"/>
      <c r="AUJ54" s="1165"/>
      <c r="AUK54" s="1165"/>
      <c r="AUL54" s="1165"/>
      <c r="AUM54" s="1165"/>
      <c r="AUN54" s="1165"/>
      <c r="AUO54" s="1165"/>
      <c r="AUP54" s="1165"/>
      <c r="AUQ54" s="1165"/>
      <c r="AUR54" s="1165"/>
      <c r="AUS54" s="1165"/>
      <c r="AUT54" s="1165"/>
      <c r="AUU54" s="1165"/>
      <c r="AUV54" s="1165"/>
      <c r="AUW54" s="1165"/>
      <c r="AUX54" s="1165"/>
      <c r="AUY54" s="1165"/>
      <c r="AUZ54" s="1165"/>
      <c r="AVA54" s="1165"/>
      <c r="AVB54" s="1165"/>
      <c r="AVC54" s="1165"/>
      <c r="AVD54" s="1165"/>
      <c r="AVE54" s="1165"/>
      <c r="AVF54" s="1165"/>
      <c r="AVG54" s="1165"/>
      <c r="AVH54" s="1165"/>
      <c r="AVI54" s="1165"/>
      <c r="AVJ54" s="1165"/>
      <c r="AVK54" s="1165"/>
      <c r="AVL54" s="1165"/>
      <c r="AVM54" s="1165"/>
      <c r="AVN54" s="1165"/>
      <c r="AVO54" s="1165"/>
      <c r="AVP54" s="1165"/>
      <c r="AVQ54" s="1165"/>
      <c r="AVR54" s="1165"/>
      <c r="AVS54" s="1165"/>
      <c r="AVT54" s="1165"/>
      <c r="AVU54" s="1165"/>
      <c r="AVV54" s="1165"/>
      <c r="AVW54" s="1165"/>
      <c r="AVX54" s="1165"/>
      <c r="AVY54" s="1165"/>
      <c r="AVZ54" s="1165"/>
      <c r="AWA54" s="1165"/>
      <c r="AWB54" s="1165"/>
      <c r="AWC54" s="1165"/>
      <c r="AWD54" s="1165"/>
      <c r="AWE54" s="1165"/>
      <c r="AWF54" s="1165"/>
      <c r="AWG54" s="1165"/>
      <c r="AWH54" s="1165"/>
      <c r="AWI54" s="1165"/>
      <c r="AWJ54" s="1165"/>
      <c r="AWK54" s="1165"/>
      <c r="AWL54" s="1165"/>
      <c r="AWM54" s="1165"/>
      <c r="AWN54" s="1165"/>
      <c r="AWO54" s="1165"/>
      <c r="AWP54" s="1165"/>
      <c r="AWQ54" s="1165"/>
      <c r="AWR54" s="1165"/>
      <c r="AWS54" s="1165"/>
      <c r="AWT54" s="1165"/>
      <c r="AWU54" s="1165"/>
      <c r="AWV54" s="1165"/>
      <c r="AWW54" s="1165"/>
      <c r="AWX54" s="1165"/>
      <c r="AWY54" s="1165"/>
      <c r="AWZ54" s="1165"/>
      <c r="AXA54" s="1165"/>
      <c r="AXB54" s="1165"/>
      <c r="AXC54" s="1165"/>
      <c r="AXD54" s="1165"/>
      <c r="AXE54" s="1165"/>
      <c r="AXF54" s="1165"/>
      <c r="AXG54" s="1165"/>
      <c r="AXH54" s="1165"/>
      <c r="AXI54" s="1165"/>
      <c r="AXJ54" s="1165"/>
      <c r="AXK54" s="1165"/>
      <c r="AXL54" s="1165"/>
      <c r="AXM54" s="1165"/>
      <c r="AXN54" s="1165"/>
      <c r="AXO54" s="1165"/>
      <c r="AXP54" s="1165"/>
      <c r="AXQ54" s="1165"/>
      <c r="AXR54" s="1165"/>
      <c r="AXS54" s="1165"/>
      <c r="AXT54" s="1165"/>
      <c r="AXU54" s="1165"/>
      <c r="AXV54" s="1165"/>
      <c r="AXW54" s="1165"/>
      <c r="AXX54" s="1165"/>
      <c r="AXY54" s="1165"/>
      <c r="AXZ54" s="1165"/>
      <c r="AYA54" s="1165"/>
      <c r="AYB54" s="1165"/>
      <c r="AYC54" s="1165"/>
      <c r="AYD54" s="1165"/>
      <c r="AYE54" s="1165"/>
      <c r="AYF54" s="1165"/>
      <c r="AYG54" s="1165"/>
      <c r="AYH54" s="1165"/>
      <c r="AYI54" s="1165"/>
      <c r="AYJ54" s="1165"/>
      <c r="AYK54" s="1165"/>
      <c r="AYL54" s="1165"/>
      <c r="AYM54" s="1165"/>
      <c r="AYN54" s="1165"/>
      <c r="AYO54" s="1165"/>
      <c r="AYP54" s="1165"/>
      <c r="AYQ54" s="1165"/>
      <c r="AYR54" s="1165"/>
      <c r="AYS54" s="1165"/>
      <c r="AYT54" s="1165"/>
      <c r="AYU54" s="1165"/>
      <c r="AYV54" s="1165"/>
      <c r="AYW54" s="1165"/>
      <c r="AYX54" s="1165"/>
      <c r="AYY54" s="1165"/>
      <c r="AYZ54" s="1165"/>
      <c r="AZA54" s="1165"/>
      <c r="AZB54" s="1165"/>
      <c r="AZC54" s="1165"/>
      <c r="AZD54" s="1165"/>
      <c r="AZE54" s="1165"/>
      <c r="AZF54" s="1165"/>
      <c r="AZG54" s="1165"/>
      <c r="AZH54" s="1165"/>
      <c r="AZI54" s="1165"/>
      <c r="AZJ54" s="1165"/>
      <c r="AZK54" s="1165"/>
      <c r="AZL54" s="1165"/>
      <c r="AZM54" s="1165"/>
      <c r="AZN54" s="1165"/>
      <c r="AZO54" s="1165"/>
      <c r="AZP54" s="1165"/>
      <c r="AZQ54" s="1165"/>
      <c r="AZR54" s="1165"/>
      <c r="AZS54" s="1165"/>
      <c r="AZT54" s="1165"/>
      <c r="AZU54" s="1165"/>
      <c r="AZV54" s="1165"/>
      <c r="AZW54" s="1165"/>
      <c r="AZX54" s="1165"/>
      <c r="AZY54" s="1165"/>
      <c r="AZZ54" s="1165"/>
      <c r="BAA54" s="1165"/>
      <c r="BAB54" s="1165"/>
      <c r="BAC54" s="1165"/>
      <c r="BAD54" s="1165"/>
      <c r="BAE54" s="1165"/>
      <c r="BAF54" s="1165"/>
      <c r="BAG54" s="1165"/>
      <c r="BAH54" s="1165"/>
      <c r="BAI54" s="1165"/>
      <c r="BAJ54" s="1165"/>
      <c r="BAK54" s="1165"/>
      <c r="BAL54" s="1165"/>
      <c r="BAM54" s="1165"/>
      <c r="BAN54" s="1165"/>
      <c r="BAO54" s="1165"/>
      <c r="BAP54" s="1165"/>
      <c r="BAQ54" s="1165"/>
      <c r="BAR54" s="1165"/>
      <c r="BAS54" s="1165"/>
      <c r="BAT54" s="1165"/>
      <c r="BAU54" s="1165"/>
      <c r="BAV54" s="1165"/>
      <c r="BAW54" s="1165"/>
      <c r="BAX54" s="1165"/>
      <c r="BAY54" s="1165"/>
      <c r="BAZ54" s="1165"/>
      <c r="BBA54" s="1165"/>
      <c r="BBB54" s="1165"/>
      <c r="BBC54" s="1165"/>
      <c r="BBD54" s="1165"/>
      <c r="BBE54" s="1165"/>
      <c r="BBF54" s="1165"/>
      <c r="BBG54" s="1165"/>
      <c r="BBH54" s="1165"/>
      <c r="BBI54" s="1165"/>
      <c r="BBJ54" s="1165"/>
      <c r="BBK54" s="1165"/>
      <c r="BBL54" s="1165"/>
      <c r="BBM54" s="1165"/>
      <c r="BBN54" s="1165"/>
      <c r="BBO54" s="1165"/>
      <c r="BBP54" s="1165"/>
      <c r="BBQ54" s="1165"/>
      <c r="BBR54" s="1165"/>
      <c r="BBS54" s="1165"/>
      <c r="BBT54" s="1165"/>
      <c r="BBU54" s="1165"/>
      <c r="BBV54" s="1165"/>
      <c r="BBW54" s="1165"/>
      <c r="BBX54" s="1165"/>
      <c r="BBY54" s="1165"/>
      <c r="BBZ54" s="1165"/>
      <c r="BCA54" s="1165"/>
      <c r="BCB54" s="1165"/>
      <c r="BCC54" s="1165"/>
      <c r="BCD54" s="1165"/>
      <c r="BCE54" s="1165"/>
      <c r="BCF54" s="1165"/>
      <c r="BCG54" s="1165"/>
      <c r="BCH54" s="1165"/>
      <c r="BCI54" s="1165"/>
      <c r="BCJ54" s="1165"/>
      <c r="BCK54" s="1165"/>
      <c r="BCL54" s="1165"/>
      <c r="BCM54" s="1165"/>
      <c r="BCN54" s="1165"/>
      <c r="BCO54" s="1165"/>
      <c r="BCP54" s="1165"/>
      <c r="BCQ54" s="1165"/>
      <c r="BCR54" s="1165"/>
      <c r="BCS54" s="1165"/>
      <c r="BCT54" s="1165"/>
      <c r="BCU54" s="1165"/>
      <c r="BCV54" s="1165"/>
      <c r="BCW54" s="1165"/>
      <c r="BCX54" s="1165"/>
      <c r="BCY54" s="1165"/>
      <c r="BCZ54" s="1165"/>
      <c r="BDA54" s="1165"/>
      <c r="BDB54" s="1165"/>
      <c r="BDC54" s="1165"/>
      <c r="BDD54" s="1165"/>
      <c r="BDE54" s="1165"/>
      <c r="BDF54" s="1165"/>
      <c r="BDG54" s="1165"/>
      <c r="BDH54" s="1165"/>
      <c r="BDI54" s="1165"/>
      <c r="BDJ54" s="1165"/>
      <c r="BDK54" s="1165"/>
      <c r="BDL54" s="1165"/>
      <c r="BDM54" s="1165"/>
      <c r="BDN54" s="1165"/>
      <c r="BDO54" s="1165"/>
      <c r="BDP54" s="1165"/>
      <c r="BDQ54" s="1165"/>
      <c r="BDR54" s="1165"/>
      <c r="BDS54" s="1165"/>
      <c r="BDT54" s="1165"/>
      <c r="BDU54" s="1165"/>
      <c r="BDV54" s="1165"/>
      <c r="BDW54" s="1165"/>
      <c r="BDX54" s="1165"/>
      <c r="BDY54" s="1165"/>
      <c r="BDZ54" s="1165"/>
      <c r="BEA54" s="1165"/>
      <c r="BEB54" s="1165"/>
      <c r="BEC54" s="1165"/>
      <c r="BED54" s="1165"/>
      <c r="BEE54" s="1165"/>
      <c r="BEF54" s="1165"/>
      <c r="BEG54" s="1165"/>
      <c r="BEH54" s="1165"/>
      <c r="BEI54" s="1165"/>
      <c r="BEJ54" s="1165"/>
      <c r="BEK54" s="1165"/>
      <c r="BEL54" s="1165"/>
      <c r="BEM54" s="1165"/>
      <c r="BEN54" s="1165"/>
      <c r="BEO54" s="1165"/>
      <c r="BEP54" s="1165"/>
      <c r="BEQ54" s="1165"/>
      <c r="BER54" s="1165"/>
      <c r="BES54" s="1165"/>
      <c r="BET54" s="1165"/>
      <c r="BEU54" s="1165"/>
      <c r="BEV54" s="1165"/>
      <c r="BEW54" s="1165"/>
      <c r="BEX54" s="1165"/>
      <c r="BEY54" s="1165"/>
      <c r="BEZ54" s="1165"/>
      <c r="BFA54" s="1165"/>
      <c r="BFB54" s="1165"/>
      <c r="BFC54" s="1165"/>
      <c r="BFD54" s="1165"/>
      <c r="BFE54" s="1165"/>
      <c r="BFF54" s="1165"/>
      <c r="BFG54" s="1165"/>
      <c r="BFH54" s="1165"/>
      <c r="BFI54" s="1165"/>
      <c r="BFJ54" s="1165"/>
      <c r="BFK54" s="1165"/>
      <c r="BFL54" s="1165"/>
      <c r="BFM54" s="1165"/>
      <c r="BFN54" s="1165"/>
      <c r="BFO54" s="1165"/>
      <c r="BFP54" s="1165"/>
      <c r="BFQ54" s="1165"/>
      <c r="BFR54" s="1165"/>
      <c r="BFS54" s="1165"/>
      <c r="BFT54" s="1165"/>
      <c r="BFU54" s="1165"/>
      <c r="BFV54" s="1165"/>
      <c r="BFW54" s="1165"/>
      <c r="BFX54" s="1165"/>
      <c r="BFY54" s="1165"/>
      <c r="BFZ54" s="1165"/>
      <c r="BGA54" s="1165"/>
      <c r="BGB54" s="1165"/>
      <c r="BGC54" s="1165"/>
      <c r="BGD54" s="1165"/>
      <c r="BGE54" s="1165"/>
      <c r="BGF54" s="1165"/>
      <c r="BGG54" s="1165"/>
      <c r="BGH54" s="1165"/>
      <c r="BGI54" s="1165"/>
      <c r="BGJ54" s="1165"/>
      <c r="BGK54" s="1165"/>
      <c r="BGL54" s="1165"/>
      <c r="BGM54" s="1165"/>
      <c r="BGN54" s="1165"/>
      <c r="BGO54" s="1165"/>
      <c r="BGP54" s="1165"/>
      <c r="BGQ54" s="1165"/>
      <c r="BGR54" s="1165"/>
      <c r="BGS54" s="1165"/>
      <c r="BGT54" s="1165"/>
      <c r="BGU54" s="1165"/>
      <c r="BGV54" s="1165"/>
      <c r="BGW54" s="1165"/>
      <c r="BGX54" s="1165"/>
      <c r="BGY54" s="1165"/>
      <c r="BGZ54" s="1165"/>
      <c r="BHA54" s="1165"/>
      <c r="BHB54" s="1165"/>
      <c r="BHC54" s="1165"/>
      <c r="BHD54" s="1165"/>
      <c r="BHE54" s="1165"/>
      <c r="BHF54" s="1165"/>
      <c r="BHG54" s="1165"/>
      <c r="BHH54" s="1165"/>
      <c r="BHI54" s="1165"/>
      <c r="BHJ54" s="1165"/>
      <c r="BHK54" s="1165"/>
      <c r="BHL54" s="1165"/>
      <c r="BHM54" s="1165"/>
      <c r="BHN54" s="1165"/>
      <c r="BHO54" s="1165"/>
      <c r="BHP54" s="1165"/>
      <c r="BHQ54" s="1165"/>
      <c r="BHR54" s="1165"/>
      <c r="BHS54" s="1165"/>
      <c r="BHT54" s="1165"/>
      <c r="BHU54" s="1165"/>
      <c r="BHV54" s="1165"/>
      <c r="BHW54" s="1165"/>
      <c r="BHX54" s="1165"/>
      <c r="BHY54" s="1165"/>
      <c r="BHZ54" s="1165"/>
      <c r="BIA54" s="1165"/>
      <c r="BIB54" s="1165"/>
      <c r="BIC54" s="1165"/>
      <c r="BID54" s="1165"/>
      <c r="BIE54" s="1165"/>
      <c r="BIF54" s="1165"/>
      <c r="BIG54" s="1165"/>
      <c r="BIH54" s="1165"/>
      <c r="BII54" s="1165"/>
      <c r="BIJ54" s="1165"/>
      <c r="BIK54" s="1165"/>
      <c r="BIL54" s="1165"/>
      <c r="BIM54" s="1165"/>
      <c r="BIN54" s="1165"/>
      <c r="BIO54" s="1165"/>
      <c r="BIP54" s="1165"/>
      <c r="BIQ54" s="1165"/>
      <c r="BIR54" s="1165"/>
      <c r="BIS54" s="1165"/>
      <c r="BIT54" s="1165"/>
      <c r="BIU54" s="1165"/>
      <c r="BIV54" s="1165"/>
      <c r="BIW54" s="1165"/>
      <c r="BIX54" s="1165"/>
      <c r="BIY54" s="1165"/>
      <c r="BIZ54" s="1165"/>
      <c r="BJA54" s="1165"/>
      <c r="BJB54" s="1165"/>
      <c r="BJC54" s="1165"/>
      <c r="BJD54" s="1165"/>
      <c r="BJE54" s="1165"/>
      <c r="BJF54" s="1165"/>
      <c r="BJG54" s="1165"/>
      <c r="BJH54" s="1165"/>
      <c r="BJI54" s="1165"/>
      <c r="BJJ54" s="1165"/>
      <c r="BJK54" s="1165"/>
      <c r="BJL54" s="1165"/>
      <c r="BJM54" s="1165"/>
      <c r="BJN54" s="1165"/>
      <c r="BJO54" s="1165"/>
      <c r="BJP54" s="1165"/>
      <c r="BJQ54" s="1165"/>
      <c r="BJR54" s="1165"/>
      <c r="BJS54" s="1165"/>
      <c r="BJT54" s="1165"/>
      <c r="BJU54" s="1165"/>
      <c r="BJV54" s="1165"/>
      <c r="BJW54" s="1165"/>
      <c r="BJX54" s="1165"/>
      <c r="BJY54" s="1165"/>
      <c r="BJZ54" s="1165"/>
      <c r="BKA54" s="1165"/>
      <c r="BKB54" s="1165"/>
      <c r="BKC54" s="1165"/>
      <c r="BKD54" s="1165"/>
      <c r="BKE54" s="1165"/>
      <c r="BKF54" s="1165"/>
      <c r="BKG54" s="1165"/>
      <c r="BKH54" s="1165"/>
      <c r="BKI54" s="1165"/>
      <c r="BKJ54" s="1165"/>
      <c r="BKK54" s="1165"/>
      <c r="BKL54" s="1165"/>
      <c r="BKM54" s="1165"/>
      <c r="BKN54" s="1165"/>
      <c r="BKO54" s="1165"/>
      <c r="BKP54" s="1165"/>
      <c r="BKQ54" s="1165"/>
      <c r="BKR54" s="1165"/>
      <c r="BKS54" s="1165"/>
      <c r="BKT54" s="1165"/>
      <c r="BKU54" s="1165"/>
      <c r="BKV54" s="1165"/>
      <c r="BKW54" s="1165"/>
      <c r="BKX54" s="1165"/>
      <c r="BKY54" s="1165"/>
      <c r="BKZ54" s="1165"/>
      <c r="BLA54" s="1165"/>
      <c r="BLB54" s="1165"/>
      <c r="BLC54" s="1165"/>
      <c r="BLD54" s="1165"/>
      <c r="BLE54" s="1165"/>
      <c r="BLF54" s="1165"/>
      <c r="BLG54" s="1165"/>
      <c r="BLH54" s="1165"/>
      <c r="BLI54" s="1165"/>
      <c r="BLJ54" s="1165"/>
      <c r="BLK54" s="1165"/>
      <c r="BLL54" s="1165"/>
      <c r="BLM54" s="1165"/>
      <c r="BLN54" s="1165"/>
      <c r="BLO54" s="1165"/>
      <c r="BLP54" s="1165"/>
      <c r="BLQ54" s="1165"/>
      <c r="BLR54" s="1165"/>
      <c r="BLS54" s="1165"/>
      <c r="BLT54" s="1165"/>
      <c r="BLU54" s="1165"/>
      <c r="BLV54" s="1165"/>
      <c r="BLW54" s="1165"/>
      <c r="BLX54" s="1165"/>
      <c r="BLY54" s="1165"/>
      <c r="BLZ54" s="1165"/>
      <c r="BMA54" s="1165"/>
      <c r="BMB54" s="1165"/>
      <c r="BMC54" s="1165"/>
      <c r="BMD54" s="1165"/>
      <c r="BME54" s="1165"/>
      <c r="BMF54" s="1165"/>
      <c r="BMG54" s="1165"/>
      <c r="BMH54" s="1165"/>
      <c r="BMI54" s="1165"/>
      <c r="BMJ54" s="1165"/>
      <c r="BMK54" s="1165"/>
      <c r="BML54" s="1165"/>
      <c r="BMM54" s="1165"/>
      <c r="BMN54" s="1165"/>
      <c r="BMO54" s="1165"/>
      <c r="BMP54" s="1165"/>
      <c r="BMQ54" s="1165"/>
      <c r="BMR54" s="1165"/>
      <c r="BMS54" s="1165"/>
      <c r="BMT54" s="1165"/>
      <c r="BMU54" s="1165"/>
      <c r="BMV54" s="1165"/>
      <c r="BMW54" s="1165"/>
      <c r="BMX54" s="1165"/>
      <c r="BMY54" s="1165"/>
      <c r="BMZ54" s="1165"/>
      <c r="BNA54" s="1165"/>
      <c r="BNB54" s="1165"/>
      <c r="BNC54" s="1165"/>
      <c r="BND54" s="1165"/>
      <c r="BNE54" s="1165"/>
      <c r="BNF54" s="1165"/>
      <c r="BNG54" s="1165"/>
      <c r="BNH54" s="1165"/>
      <c r="BNI54" s="1165"/>
      <c r="BNJ54" s="1165"/>
      <c r="BNK54" s="1165"/>
      <c r="BNL54" s="1165"/>
      <c r="BNM54" s="1165"/>
      <c r="BNN54" s="1165"/>
      <c r="BNO54" s="1165"/>
      <c r="BNP54" s="1165"/>
      <c r="BNQ54" s="1165"/>
      <c r="BNR54" s="1165"/>
      <c r="BNS54" s="1165"/>
      <c r="BNT54" s="1165"/>
      <c r="BNU54" s="1165"/>
      <c r="BNV54" s="1165"/>
      <c r="BNW54" s="1165"/>
      <c r="BNX54" s="1165"/>
      <c r="BNY54" s="1165"/>
      <c r="BNZ54" s="1165"/>
      <c r="BOA54" s="1165"/>
      <c r="BOB54" s="1165"/>
      <c r="BOC54" s="1165"/>
      <c r="BOD54" s="1165"/>
      <c r="BOE54" s="1165"/>
      <c r="BOF54" s="1165"/>
      <c r="BOG54" s="1165"/>
      <c r="BOH54" s="1165"/>
      <c r="BOI54" s="1165"/>
      <c r="BOJ54" s="1165"/>
      <c r="BOK54" s="1165"/>
      <c r="BOL54" s="1165"/>
      <c r="BOM54" s="1165"/>
      <c r="BON54" s="1165"/>
      <c r="BOO54" s="1165"/>
      <c r="BOP54" s="1165"/>
      <c r="BOQ54" s="1165"/>
      <c r="BOR54" s="1165"/>
      <c r="BOS54" s="1165"/>
      <c r="BOT54" s="1165"/>
      <c r="BOU54" s="1165"/>
      <c r="BOV54" s="1165"/>
      <c r="BOW54" s="1165"/>
      <c r="BOX54" s="1165"/>
      <c r="BOY54" s="1165"/>
      <c r="BOZ54" s="1165"/>
      <c r="BPA54" s="1165"/>
      <c r="BPB54" s="1165"/>
      <c r="BPC54" s="1165"/>
      <c r="BPD54" s="1165"/>
      <c r="BPE54" s="1165"/>
      <c r="BPF54" s="1165"/>
      <c r="BPG54" s="1165"/>
      <c r="BPH54" s="1165"/>
      <c r="BPI54" s="1165"/>
      <c r="BPJ54" s="1165"/>
      <c r="BPK54" s="1165"/>
      <c r="BPL54" s="1165"/>
      <c r="BPM54" s="1165"/>
      <c r="BPN54" s="1165"/>
      <c r="BPO54" s="1165"/>
      <c r="BPP54" s="1165"/>
      <c r="BPQ54" s="1165"/>
      <c r="BPR54" s="1165"/>
      <c r="BPS54" s="1165"/>
      <c r="BPT54" s="1165"/>
      <c r="BPU54" s="1165"/>
      <c r="BPV54" s="1165"/>
      <c r="BPW54" s="1165"/>
      <c r="BPX54" s="1165"/>
      <c r="BPY54" s="1165"/>
      <c r="BPZ54" s="1165"/>
      <c r="BQA54" s="1165"/>
      <c r="BQB54" s="1165"/>
      <c r="BQC54" s="1165"/>
      <c r="BQD54" s="1165"/>
      <c r="BQE54" s="1165"/>
      <c r="BQF54" s="1165"/>
      <c r="BQG54" s="1165"/>
      <c r="BQH54" s="1165"/>
      <c r="BQI54" s="1165"/>
      <c r="BQJ54" s="1165"/>
      <c r="BQK54" s="1165"/>
      <c r="BQL54" s="1165"/>
      <c r="BQM54" s="1165"/>
      <c r="BQN54" s="1165"/>
      <c r="BQO54" s="1165"/>
      <c r="BQP54" s="1165"/>
      <c r="BQQ54" s="1165"/>
      <c r="BQR54" s="1165"/>
      <c r="BQS54" s="1165"/>
      <c r="BQT54" s="1165"/>
      <c r="BQU54" s="1165"/>
      <c r="BQV54" s="1165"/>
      <c r="BQW54" s="1165"/>
      <c r="BQX54" s="1165"/>
      <c r="BQY54" s="1165"/>
      <c r="BQZ54" s="1165"/>
      <c r="BRA54" s="1165"/>
      <c r="BRB54" s="1165"/>
      <c r="BRC54" s="1165"/>
      <c r="BRD54" s="1165"/>
      <c r="BRE54" s="1165"/>
      <c r="BRF54" s="1165"/>
      <c r="BRG54" s="1165"/>
      <c r="BRH54" s="1165"/>
      <c r="BRI54" s="1165"/>
      <c r="BRJ54" s="1165"/>
      <c r="BRK54" s="1165"/>
      <c r="BRL54" s="1165"/>
      <c r="BRM54" s="1165"/>
      <c r="BRN54" s="1165"/>
      <c r="BRO54" s="1165"/>
      <c r="BRP54" s="1165"/>
      <c r="BRQ54" s="1165"/>
      <c r="BRR54" s="1165"/>
      <c r="BRS54" s="1165"/>
      <c r="BRT54" s="1165"/>
      <c r="BRU54" s="1165"/>
      <c r="BRV54" s="1165"/>
      <c r="BRW54" s="1165"/>
      <c r="BRX54" s="1165"/>
      <c r="BRY54" s="1165"/>
      <c r="BRZ54" s="1165"/>
      <c r="BSA54" s="1165"/>
      <c r="BSB54" s="1165"/>
      <c r="BSC54" s="1165"/>
      <c r="BSD54" s="1165"/>
      <c r="BSE54" s="1165"/>
      <c r="BSF54" s="1165"/>
      <c r="BSG54" s="1165"/>
      <c r="BSH54" s="1165"/>
      <c r="BSI54" s="1165"/>
      <c r="BSJ54" s="1165"/>
      <c r="BSK54" s="1165"/>
      <c r="BSL54" s="1165"/>
      <c r="BSM54" s="1165"/>
      <c r="BSN54" s="1165"/>
      <c r="BSO54" s="1165"/>
      <c r="BSP54" s="1165"/>
      <c r="BSQ54" s="1165"/>
      <c r="BSR54" s="1165"/>
      <c r="BSS54" s="1165"/>
      <c r="BST54" s="1165"/>
      <c r="BSU54" s="1165"/>
      <c r="BSV54" s="1165"/>
      <c r="BSW54" s="1165"/>
      <c r="BSX54" s="1165"/>
      <c r="BSY54" s="1165"/>
      <c r="BSZ54" s="1165"/>
      <c r="BTA54" s="1165"/>
      <c r="BTB54" s="1165"/>
      <c r="BTC54" s="1165"/>
      <c r="BTD54" s="1165"/>
      <c r="BTE54" s="1165"/>
      <c r="BTF54" s="1165"/>
      <c r="BTG54" s="1165"/>
      <c r="BTH54" s="1165"/>
      <c r="BTI54" s="1165"/>
      <c r="BTJ54" s="1165"/>
      <c r="BTK54" s="1165"/>
      <c r="BTL54" s="1165"/>
      <c r="BTM54" s="1165"/>
      <c r="BTN54" s="1165"/>
      <c r="BTO54" s="1165"/>
      <c r="BTP54" s="1165"/>
      <c r="BTQ54" s="1165"/>
      <c r="BTR54" s="1165"/>
      <c r="BTS54" s="1165"/>
      <c r="BTT54" s="1165"/>
      <c r="BTU54" s="1165"/>
      <c r="BTV54" s="1165"/>
      <c r="BTW54" s="1165"/>
      <c r="BTX54" s="1165"/>
      <c r="BTY54" s="1165"/>
      <c r="BTZ54" s="1165"/>
      <c r="BUA54" s="1165"/>
      <c r="BUB54" s="1165"/>
      <c r="BUC54" s="1165"/>
      <c r="BUD54" s="1165"/>
      <c r="BUE54" s="1165"/>
      <c r="BUF54" s="1165"/>
      <c r="BUG54" s="1165"/>
      <c r="BUH54" s="1165"/>
      <c r="BUI54" s="1165"/>
      <c r="BUJ54" s="1165"/>
      <c r="BUK54" s="1165"/>
      <c r="BUL54" s="1165"/>
      <c r="BUM54" s="1165"/>
      <c r="BUN54" s="1165"/>
      <c r="BUO54" s="1165"/>
      <c r="BUP54" s="1165"/>
      <c r="BUQ54" s="1165"/>
      <c r="BUR54" s="1165"/>
      <c r="BUS54" s="1165"/>
      <c r="BUT54" s="1165"/>
      <c r="BUU54" s="1165"/>
      <c r="BUV54" s="1165"/>
      <c r="BUW54" s="1165"/>
      <c r="BUX54" s="1165"/>
      <c r="BUY54" s="1165"/>
      <c r="BUZ54" s="1165"/>
      <c r="BVA54" s="1165"/>
      <c r="BVB54" s="1165"/>
      <c r="BVC54" s="1165"/>
      <c r="BVD54" s="1165"/>
      <c r="BVE54" s="1165"/>
      <c r="BVF54" s="1165"/>
      <c r="BVG54" s="1165"/>
      <c r="BVH54" s="1165"/>
      <c r="BVI54" s="1165"/>
      <c r="BVJ54" s="1165"/>
      <c r="BVK54" s="1165"/>
      <c r="BVL54" s="1165"/>
      <c r="BVM54" s="1165"/>
      <c r="BVN54" s="1165"/>
      <c r="BVO54" s="1165"/>
      <c r="BVP54" s="1165"/>
      <c r="BVQ54" s="1165"/>
      <c r="BVR54" s="1165"/>
      <c r="BVS54" s="1165"/>
      <c r="BVT54" s="1165"/>
      <c r="BVU54" s="1165"/>
      <c r="BVV54" s="1165"/>
      <c r="BVW54" s="1165"/>
      <c r="BVX54" s="1165"/>
      <c r="BVY54" s="1165"/>
      <c r="BVZ54" s="1165"/>
      <c r="BWA54" s="1165"/>
      <c r="BWB54" s="1165"/>
      <c r="BWC54" s="1165"/>
      <c r="BWD54" s="1165"/>
      <c r="BWE54" s="1165"/>
      <c r="BWF54" s="1165"/>
      <c r="BWG54" s="1165"/>
      <c r="BWH54" s="1165"/>
      <c r="BWI54" s="1165"/>
      <c r="BWJ54" s="1165"/>
      <c r="BWK54" s="1165"/>
      <c r="BWL54" s="1165"/>
      <c r="BWM54" s="1165"/>
      <c r="BWN54" s="1165"/>
      <c r="BWO54" s="1165"/>
      <c r="BWP54" s="1165"/>
      <c r="BWQ54" s="1165"/>
      <c r="BWR54" s="1165"/>
      <c r="BWS54" s="1165"/>
      <c r="BWT54" s="1165"/>
      <c r="BWU54" s="1165"/>
      <c r="BWV54" s="1165"/>
      <c r="BWW54" s="1165"/>
      <c r="BWX54" s="1165"/>
      <c r="BWY54" s="1165"/>
      <c r="BWZ54" s="1165"/>
      <c r="BXA54" s="1165"/>
      <c r="BXB54" s="1165"/>
      <c r="BXC54" s="1165"/>
      <c r="BXD54" s="1165"/>
      <c r="BXE54" s="1165"/>
      <c r="BXF54" s="1165"/>
      <c r="BXG54" s="1165"/>
      <c r="BXH54" s="1165"/>
      <c r="BXI54" s="1165"/>
      <c r="BXJ54" s="1165"/>
      <c r="BXK54" s="1165"/>
      <c r="BXL54" s="1165"/>
      <c r="BXM54" s="1165"/>
      <c r="BXN54" s="1165"/>
      <c r="BXO54" s="1165"/>
      <c r="BXP54" s="1165"/>
      <c r="BXQ54" s="1165"/>
      <c r="BXR54" s="1165"/>
      <c r="BXS54" s="1165"/>
      <c r="BXT54" s="1165"/>
      <c r="BXU54" s="1165"/>
      <c r="BXV54" s="1165"/>
      <c r="BXW54" s="1165"/>
      <c r="BXX54" s="1165"/>
      <c r="BXY54" s="1165"/>
      <c r="BXZ54" s="1165"/>
      <c r="BYA54" s="1165"/>
      <c r="BYB54" s="1165"/>
      <c r="BYC54" s="1165"/>
      <c r="BYD54" s="1165"/>
      <c r="BYE54" s="1165"/>
      <c r="BYF54" s="1165"/>
      <c r="BYG54" s="1165"/>
      <c r="BYH54" s="1165"/>
      <c r="BYI54" s="1165"/>
      <c r="BYJ54" s="1165"/>
      <c r="BYK54" s="1165"/>
      <c r="BYL54" s="1165"/>
      <c r="BYM54" s="1165"/>
      <c r="BYN54" s="1165"/>
      <c r="BYO54" s="1165"/>
      <c r="BYP54" s="1165"/>
      <c r="BYQ54" s="1165"/>
      <c r="BYR54" s="1165"/>
      <c r="BYS54" s="1165"/>
      <c r="BYT54" s="1165"/>
      <c r="BYU54" s="1165"/>
      <c r="BYV54" s="1165"/>
      <c r="BYW54" s="1165"/>
      <c r="BYX54" s="1165"/>
      <c r="BYY54" s="1165"/>
      <c r="BYZ54" s="1165"/>
      <c r="BZA54" s="1165"/>
      <c r="BZB54" s="1165"/>
      <c r="BZC54" s="1165"/>
      <c r="BZD54" s="1165"/>
      <c r="BZE54" s="1165"/>
      <c r="BZF54" s="1165"/>
      <c r="BZG54" s="1165"/>
      <c r="BZH54" s="1165"/>
      <c r="BZI54" s="1165"/>
      <c r="BZJ54" s="1165"/>
      <c r="BZK54" s="1165"/>
      <c r="BZL54" s="1165"/>
      <c r="BZM54" s="1165"/>
      <c r="BZN54" s="1165"/>
      <c r="BZO54" s="1165"/>
      <c r="BZP54" s="1165"/>
      <c r="BZQ54" s="1165"/>
      <c r="BZR54" s="1165"/>
      <c r="BZS54" s="1165"/>
      <c r="BZT54" s="1165"/>
      <c r="BZU54" s="1165"/>
      <c r="BZV54" s="1165"/>
      <c r="BZW54" s="1165"/>
      <c r="BZX54" s="1165"/>
      <c r="BZY54" s="1165"/>
      <c r="BZZ54" s="1165"/>
      <c r="CAA54" s="1165"/>
      <c r="CAB54" s="1165"/>
      <c r="CAC54" s="1165"/>
      <c r="CAD54" s="1165"/>
      <c r="CAE54" s="1165"/>
      <c r="CAF54" s="1165"/>
      <c r="CAG54" s="1165"/>
      <c r="CAH54" s="1165"/>
      <c r="CAI54" s="1165"/>
      <c r="CAJ54" s="1165"/>
      <c r="CAK54" s="1165"/>
      <c r="CAL54" s="1165"/>
      <c r="CAM54" s="1165"/>
      <c r="CAN54" s="1165"/>
      <c r="CAO54" s="1165"/>
      <c r="CAP54" s="1165"/>
      <c r="CAQ54" s="1165"/>
      <c r="CAR54" s="1165"/>
      <c r="CAS54" s="1165"/>
      <c r="CAT54" s="1165"/>
      <c r="CAU54" s="1165"/>
      <c r="CAV54" s="1165"/>
      <c r="CAW54" s="1165"/>
      <c r="CAX54" s="1165"/>
      <c r="CAY54" s="1165"/>
      <c r="CAZ54" s="1165"/>
      <c r="CBA54" s="1165"/>
      <c r="CBB54" s="1165"/>
      <c r="CBC54" s="1165"/>
      <c r="CBD54" s="1165"/>
      <c r="CBE54" s="1165"/>
      <c r="CBF54" s="1165"/>
      <c r="CBG54" s="1165"/>
      <c r="CBH54" s="1165"/>
      <c r="CBI54" s="1165"/>
      <c r="CBJ54" s="1165"/>
      <c r="CBK54" s="1165"/>
      <c r="CBL54" s="1165"/>
      <c r="CBM54" s="1165"/>
      <c r="CBN54" s="1165"/>
      <c r="CBO54" s="1165"/>
      <c r="CBP54" s="1165"/>
      <c r="CBQ54" s="1165"/>
      <c r="CBR54" s="1165"/>
      <c r="CBS54" s="1165"/>
      <c r="CBT54" s="1165"/>
      <c r="CBU54" s="1165"/>
      <c r="CBV54" s="1165"/>
      <c r="CBW54" s="1165"/>
      <c r="CBX54" s="1165"/>
      <c r="CBY54" s="1165"/>
      <c r="CBZ54" s="1165"/>
      <c r="CCA54" s="1165"/>
      <c r="CCB54" s="1165"/>
      <c r="CCC54" s="1165"/>
      <c r="CCD54" s="1165"/>
      <c r="CCE54" s="1165"/>
      <c r="CCF54" s="1165"/>
      <c r="CCG54" s="1165"/>
      <c r="CCH54" s="1165"/>
      <c r="CCI54" s="1165"/>
      <c r="CCJ54" s="1165"/>
      <c r="CCK54" s="1165"/>
      <c r="CCL54" s="1165"/>
      <c r="CCM54" s="1165"/>
      <c r="CCN54" s="1165"/>
      <c r="CCO54" s="1165"/>
      <c r="CCP54" s="1165"/>
      <c r="CCQ54" s="1165"/>
      <c r="CCR54" s="1165"/>
      <c r="CCS54" s="1165"/>
      <c r="CCT54" s="1165"/>
      <c r="CCU54" s="1165"/>
      <c r="CCV54" s="1165"/>
      <c r="CCW54" s="1165"/>
      <c r="CCX54" s="1165"/>
      <c r="CCY54" s="1165"/>
      <c r="CCZ54" s="1165"/>
      <c r="CDA54" s="1165"/>
      <c r="CDB54" s="1165"/>
      <c r="CDC54" s="1165"/>
      <c r="CDD54" s="1165"/>
      <c r="CDE54" s="1165"/>
      <c r="CDF54" s="1165"/>
      <c r="CDG54" s="1165"/>
      <c r="CDH54" s="1165"/>
      <c r="CDI54" s="1165"/>
      <c r="CDJ54" s="1165"/>
      <c r="CDK54" s="1165"/>
      <c r="CDL54" s="1165"/>
      <c r="CDM54" s="1165"/>
      <c r="CDN54" s="1165"/>
      <c r="CDO54" s="1165"/>
      <c r="CDP54" s="1165"/>
      <c r="CDQ54" s="1165"/>
      <c r="CDR54" s="1165"/>
      <c r="CDS54" s="1165"/>
      <c r="CDT54" s="1165"/>
      <c r="CDU54" s="1165"/>
      <c r="CDV54" s="1165"/>
      <c r="CDW54" s="1165"/>
      <c r="CDX54" s="1165"/>
      <c r="CDY54" s="1165"/>
      <c r="CDZ54" s="1165"/>
      <c r="CEA54" s="1165"/>
      <c r="CEB54" s="1165"/>
      <c r="CEC54" s="1165"/>
      <c r="CED54" s="1165"/>
      <c r="CEE54" s="1165"/>
      <c r="CEF54" s="1165"/>
      <c r="CEG54" s="1165"/>
      <c r="CEH54" s="1165"/>
      <c r="CEI54" s="1165"/>
      <c r="CEJ54" s="1165"/>
      <c r="CEK54" s="1165"/>
      <c r="CEL54" s="1165"/>
      <c r="CEM54" s="1165"/>
      <c r="CEN54" s="1165"/>
      <c r="CEO54" s="1165"/>
      <c r="CEP54" s="1165"/>
      <c r="CEQ54" s="1165"/>
      <c r="CER54" s="1165"/>
      <c r="CES54" s="1165"/>
      <c r="CET54" s="1165"/>
      <c r="CEU54" s="1165"/>
      <c r="CEV54" s="1165"/>
      <c r="CEW54" s="1165"/>
      <c r="CEX54" s="1165"/>
      <c r="CEY54" s="1165"/>
      <c r="CEZ54" s="1165"/>
      <c r="CFA54" s="1165"/>
      <c r="CFB54" s="1165"/>
      <c r="CFC54" s="1165"/>
      <c r="CFD54" s="1165"/>
      <c r="CFE54" s="1165"/>
      <c r="CFF54" s="1165"/>
      <c r="CFG54" s="1165"/>
      <c r="CFH54" s="1165"/>
      <c r="CFI54" s="1165"/>
      <c r="CFJ54" s="1165"/>
      <c r="CFK54" s="1165"/>
      <c r="CFL54" s="1165"/>
      <c r="CFM54" s="1165"/>
      <c r="CFN54" s="1165"/>
      <c r="CFO54" s="1165"/>
      <c r="CFP54" s="1165"/>
      <c r="CFQ54" s="1165"/>
      <c r="CFR54" s="1165"/>
      <c r="CFS54" s="1165"/>
      <c r="CFT54" s="1165"/>
      <c r="CFU54" s="1165"/>
      <c r="CFV54" s="1165"/>
      <c r="CFW54" s="1165"/>
      <c r="CFX54" s="1165"/>
      <c r="CFY54" s="1165"/>
      <c r="CFZ54" s="1165"/>
      <c r="CGA54" s="1165"/>
      <c r="CGB54" s="1165"/>
      <c r="CGC54" s="1165"/>
      <c r="CGD54" s="1165"/>
      <c r="CGE54" s="1165"/>
      <c r="CGF54" s="1165"/>
      <c r="CGG54" s="1165"/>
      <c r="CGH54" s="1165"/>
      <c r="CGI54" s="1165"/>
      <c r="CGJ54" s="1165"/>
      <c r="CGK54" s="1165"/>
      <c r="CGL54" s="1165"/>
      <c r="CGM54" s="1165"/>
      <c r="CGN54" s="1165"/>
      <c r="CGO54" s="1165"/>
      <c r="CGP54" s="1165"/>
      <c r="CGQ54" s="1165"/>
      <c r="CGR54" s="1165"/>
      <c r="CGS54" s="1165"/>
      <c r="CGT54" s="1165"/>
      <c r="CGU54" s="1165"/>
      <c r="CGV54" s="1165"/>
      <c r="CGW54" s="1165"/>
      <c r="CGX54" s="1165"/>
      <c r="CGY54" s="1165"/>
      <c r="CGZ54" s="1165"/>
      <c r="CHA54" s="1165"/>
      <c r="CHB54" s="1165"/>
      <c r="CHC54" s="1165"/>
      <c r="CHD54" s="1165"/>
      <c r="CHE54" s="1165"/>
      <c r="CHF54" s="1165"/>
      <c r="CHG54" s="1165"/>
      <c r="CHH54" s="1165"/>
      <c r="CHI54" s="1165"/>
      <c r="CHJ54" s="1165"/>
      <c r="CHK54" s="1165"/>
      <c r="CHL54" s="1165"/>
      <c r="CHM54" s="1165"/>
      <c r="CHN54" s="1165"/>
      <c r="CHO54" s="1165"/>
      <c r="CHP54" s="1165"/>
      <c r="CHQ54" s="1165"/>
      <c r="CHR54" s="1165"/>
      <c r="CHS54" s="1165"/>
      <c r="CHT54" s="1165"/>
      <c r="CHU54" s="1165"/>
      <c r="CHV54" s="1165"/>
      <c r="CHW54" s="1165"/>
      <c r="CHX54" s="1165"/>
      <c r="CHY54" s="1165"/>
      <c r="CHZ54" s="1165"/>
      <c r="CIA54" s="1165"/>
      <c r="CIB54" s="1165"/>
      <c r="CIC54" s="1165"/>
      <c r="CID54" s="1165"/>
      <c r="CIE54" s="1165"/>
      <c r="CIF54" s="1165"/>
      <c r="CIG54" s="1165"/>
      <c r="CIH54" s="1165"/>
      <c r="CII54" s="1165"/>
      <c r="CIJ54" s="1165"/>
      <c r="CIK54" s="1165"/>
      <c r="CIL54" s="1165"/>
      <c r="CIM54" s="1165"/>
      <c r="CIN54" s="1165"/>
      <c r="CIO54" s="1165"/>
      <c r="CIP54" s="1165"/>
      <c r="CIQ54" s="1165"/>
      <c r="CIR54" s="1165"/>
      <c r="CIS54" s="1165"/>
      <c r="CIT54" s="1165"/>
      <c r="CIU54" s="1165"/>
      <c r="CIV54" s="1165"/>
      <c r="CIW54" s="1165"/>
      <c r="CIX54" s="1165"/>
      <c r="CIY54" s="1165"/>
      <c r="CIZ54" s="1165"/>
      <c r="CJA54" s="1165"/>
      <c r="CJB54" s="1165"/>
      <c r="CJC54" s="1165"/>
      <c r="CJD54" s="1165"/>
      <c r="CJE54" s="1165"/>
      <c r="CJF54" s="1165"/>
      <c r="CJG54" s="1165"/>
      <c r="CJH54" s="1165"/>
      <c r="CJI54" s="1165"/>
      <c r="CJJ54" s="1165"/>
      <c r="CJK54" s="1165"/>
      <c r="CJL54" s="1165"/>
      <c r="CJM54" s="1165"/>
      <c r="CJN54" s="1165"/>
      <c r="CJO54" s="1165"/>
      <c r="CJP54" s="1165"/>
      <c r="CJQ54" s="1165"/>
      <c r="CJR54" s="1165"/>
      <c r="CJS54" s="1165"/>
      <c r="CJT54" s="1165"/>
      <c r="CJU54" s="1165"/>
      <c r="CJV54" s="1165"/>
      <c r="CJW54" s="1165"/>
      <c r="CJX54" s="1165"/>
      <c r="CJY54" s="1165"/>
      <c r="CJZ54" s="1165"/>
      <c r="CKA54" s="1165"/>
      <c r="CKB54" s="1165"/>
      <c r="CKC54" s="1165"/>
      <c r="CKD54" s="1165"/>
      <c r="CKE54" s="1165"/>
      <c r="CKF54" s="1165"/>
      <c r="CKG54" s="1165"/>
      <c r="CKH54" s="1165"/>
      <c r="CKI54" s="1165"/>
      <c r="CKJ54" s="1165"/>
      <c r="CKK54" s="1165"/>
      <c r="CKL54" s="1165"/>
      <c r="CKM54" s="1165"/>
      <c r="CKN54" s="1165"/>
      <c r="CKO54" s="1165"/>
      <c r="CKP54" s="1165"/>
      <c r="CKQ54" s="1165"/>
      <c r="CKR54" s="1165"/>
      <c r="CKS54" s="1165"/>
      <c r="CKT54" s="1165"/>
      <c r="CKU54" s="1165"/>
      <c r="CKV54" s="1165"/>
      <c r="CKW54" s="1165"/>
      <c r="CKX54" s="1165"/>
      <c r="CKY54" s="1165"/>
      <c r="CKZ54" s="1165"/>
      <c r="CLA54" s="1165"/>
      <c r="CLB54" s="1165"/>
      <c r="CLC54" s="1165"/>
      <c r="CLD54" s="1165"/>
      <c r="CLE54" s="1165"/>
      <c r="CLF54" s="1165"/>
      <c r="CLG54" s="1165"/>
      <c r="CLH54" s="1165"/>
      <c r="CLI54" s="1165"/>
      <c r="CLJ54" s="1165"/>
      <c r="CLK54" s="1165"/>
      <c r="CLL54" s="1165"/>
      <c r="CLM54" s="1165"/>
      <c r="CLN54" s="1165"/>
      <c r="CLO54" s="1165"/>
      <c r="CLP54" s="1165"/>
      <c r="CLQ54" s="1165"/>
      <c r="CLR54" s="1165"/>
      <c r="CLS54" s="1165"/>
      <c r="CLT54" s="1165"/>
      <c r="CLU54" s="1165"/>
      <c r="CLV54" s="1165"/>
      <c r="CLW54" s="1165"/>
      <c r="CLX54" s="1165"/>
      <c r="CLY54" s="1165"/>
      <c r="CLZ54" s="1165"/>
      <c r="CMA54" s="1165"/>
      <c r="CMB54" s="1165"/>
      <c r="CMC54" s="1165"/>
      <c r="CMD54" s="1165"/>
      <c r="CME54" s="1165"/>
      <c r="CMF54" s="1165"/>
      <c r="CMG54" s="1165"/>
      <c r="CMH54" s="1165"/>
      <c r="CMI54" s="1165"/>
      <c r="CMJ54" s="1165"/>
      <c r="CMK54" s="1165"/>
      <c r="CML54" s="1165"/>
      <c r="CMM54" s="1165"/>
      <c r="CMN54" s="1165"/>
      <c r="CMO54" s="1165"/>
      <c r="CMP54" s="1165"/>
      <c r="CMQ54" s="1165"/>
      <c r="CMR54" s="1165"/>
      <c r="CMS54" s="1165"/>
      <c r="CMT54" s="1165"/>
      <c r="CMU54" s="1165"/>
      <c r="CMV54" s="1165"/>
      <c r="CMW54" s="1165"/>
      <c r="CMX54" s="1165"/>
      <c r="CMY54" s="1165"/>
      <c r="CMZ54" s="1165"/>
      <c r="CNA54" s="1165"/>
      <c r="CNB54" s="1165"/>
      <c r="CNC54" s="1165"/>
      <c r="CND54" s="1165"/>
      <c r="CNE54" s="1165"/>
      <c r="CNF54" s="1165"/>
      <c r="CNG54" s="1165"/>
      <c r="CNH54" s="1165"/>
      <c r="CNI54" s="1165"/>
      <c r="CNJ54" s="1165"/>
      <c r="CNK54" s="1165"/>
      <c r="CNL54" s="1165"/>
      <c r="CNM54" s="1165"/>
      <c r="CNN54" s="1165"/>
      <c r="CNO54" s="1165"/>
      <c r="CNP54" s="1165"/>
      <c r="CNQ54" s="1165"/>
      <c r="CNR54" s="1165"/>
      <c r="CNS54" s="1165"/>
      <c r="CNT54" s="1165"/>
      <c r="CNU54" s="1165"/>
      <c r="CNV54" s="1165"/>
      <c r="CNW54" s="1165"/>
      <c r="CNX54" s="1165"/>
      <c r="CNY54" s="1165"/>
      <c r="CNZ54" s="1165"/>
      <c r="COA54" s="1165"/>
      <c r="COB54" s="1165"/>
      <c r="COC54" s="1165"/>
      <c r="COD54" s="1165"/>
      <c r="COE54" s="1165"/>
      <c r="COF54" s="1165"/>
      <c r="COG54" s="1165"/>
      <c r="COH54" s="1165"/>
      <c r="COI54" s="1165"/>
      <c r="COJ54" s="1165"/>
      <c r="COK54" s="1165"/>
      <c r="COL54" s="1165"/>
      <c r="COM54" s="1165"/>
      <c r="CON54" s="1165"/>
      <c r="COO54" s="1165"/>
      <c r="COP54" s="1165"/>
      <c r="COQ54" s="1165"/>
      <c r="COR54" s="1165"/>
      <c r="COS54" s="1165"/>
      <c r="COT54" s="1165"/>
      <c r="COU54" s="1165"/>
      <c r="COV54" s="1165"/>
      <c r="COW54" s="1165"/>
      <c r="COX54" s="1165"/>
      <c r="COY54" s="1165"/>
      <c r="COZ54" s="1165"/>
      <c r="CPA54" s="1165"/>
      <c r="CPB54" s="1165"/>
      <c r="CPC54" s="1165"/>
      <c r="CPD54" s="1165"/>
      <c r="CPE54" s="1165"/>
      <c r="CPF54" s="1165"/>
      <c r="CPG54" s="1165"/>
      <c r="CPH54" s="1165"/>
      <c r="CPI54" s="1165"/>
      <c r="CPJ54" s="1165"/>
      <c r="CPK54" s="1165"/>
      <c r="CPL54" s="1165"/>
      <c r="CPM54" s="1165"/>
      <c r="CPN54" s="1165"/>
      <c r="CPO54" s="1165"/>
      <c r="CPP54" s="1165"/>
      <c r="CPQ54" s="1165"/>
      <c r="CPR54" s="1165"/>
      <c r="CPS54" s="1165"/>
      <c r="CPT54" s="1165"/>
      <c r="CPU54" s="1165"/>
      <c r="CPV54" s="1165"/>
      <c r="CPW54" s="1165"/>
      <c r="CPX54" s="1165"/>
      <c r="CPY54" s="1165"/>
      <c r="CPZ54" s="1165"/>
      <c r="CQA54" s="1165"/>
      <c r="CQB54" s="1165"/>
      <c r="CQC54" s="1165"/>
      <c r="CQD54" s="1165"/>
      <c r="CQE54" s="1165"/>
      <c r="CQF54" s="1165"/>
      <c r="CQG54" s="1165"/>
      <c r="CQH54" s="1165"/>
      <c r="CQI54" s="1165"/>
      <c r="CQJ54" s="1165"/>
      <c r="CQK54" s="1165"/>
      <c r="CQL54" s="1165"/>
      <c r="CQM54" s="1165"/>
      <c r="CQN54" s="1165"/>
      <c r="CQO54" s="1165"/>
      <c r="CQP54" s="1165"/>
      <c r="CQQ54" s="1165"/>
      <c r="CQR54" s="1165"/>
      <c r="CQS54" s="1165"/>
      <c r="CQT54" s="1165"/>
      <c r="CQU54" s="1165"/>
      <c r="CQV54" s="1165"/>
      <c r="CQW54" s="1165"/>
      <c r="CQX54" s="1165"/>
      <c r="CQY54" s="1165"/>
      <c r="CQZ54" s="1165"/>
      <c r="CRA54" s="1165"/>
      <c r="CRB54" s="1165"/>
      <c r="CRC54" s="1165"/>
      <c r="CRD54" s="1165"/>
      <c r="CRE54" s="1165"/>
      <c r="CRF54" s="1165"/>
      <c r="CRG54" s="1165"/>
      <c r="CRH54" s="1165"/>
      <c r="CRI54" s="1165"/>
      <c r="CRJ54" s="1165"/>
      <c r="CRK54" s="1165"/>
      <c r="CRL54" s="1165"/>
      <c r="CRM54" s="1165"/>
      <c r="CRN54" s="1165"/>
      <c r="CRO54" s="1165"/>
      <c r="CRP54" s="1165"/>
      <c r="CRQ54" s="1165"/>
      <c r="CRR54" s="1165"/>
      <c r="CRS54" s="1165"/>
      <c r="CRT54" s="1165"/>
      <c r="CRU54" s="1165"/>
      <c r="CRV54" s="1165"/>
      <c r="CRW54" s="1165"/>
      <c r="CRX54" s="1165"/>
      <c r="CRY54" s="1165"/>
      <c r="CRZ54" s="1165"/>
      <c r="CSA54" s="1165"/>
      <c r="CSB54" s="1165"/>
      <c r="CSC54" s="1165"/>
      <c r="CSD54" s="1165"/>
      <c r="CSE54" s="1165"/>
      <c r="CSF54" s="1165"/>
      <c r="CSG54" s="1165"/>
      <c r="CSH54" s="1165"/>
      <c r="CSI54" s="1165"/>
      <c r="CSJ54" s="1165"/>
      <c r="CSK54" s="1165"/>
      <c r="CSL54" s="1165"/>
      <c r="CSM54" s="1165"/>
      <c r="CSN54" s="1165"/>
      <c r="CSO54" s="1165"/>
      <c r="CSP54" s="1165"/>
      <c r="CSQ54" s="1165"/>
      <c r="CSR54" s="1165"/>
      <c r="CSS54" s="1165"/>
      <c r="CST54" s="1165"/>
      <c r="CSU54" s="1165"/>
      <c r="CSV54" s="1165"/>
      <c r="CSW54" s="1165"/>
      <c r="CSX54" s="1165"/>
      <c r="CSY54" s="1165"/>
      <c r="CSZ54" s="1165"/>
      <c r="CTA54" s="1165"/>
      <c r="CTB54" s="1165"/>
      <c r="CTC54" s="1165"/>
      <c r="CTD54" s="1165"/>
      <c r="CTE54" s="1165"/>
      <c r="CTF54" s="1165"/>
      <c r="CTG54" s="1165"/>
      <c r="CTH54" s="1165"/>
      <c r="CTI54" s="1165"/>
      <c r="CTJ54" s="1165"/>
      <c r="CTK54" s="1165"/>
      <c r="CTL54" s="1165"/>
      <c r="CTM54" s="1165"/>
      <c r="CTN54" s="1165"/>
      <c r="CTO54" s="1165"/>
      <c r="CTP54" s="1165"/>
      <c r="CTQ54" s="1165"/>
      <c r="CTR54" s="1165"/>
      <c r="CTS54" s="1165"/>
      <c r="CTT54" s="1165"/>
      <c r="CTU54" s="1165"/>
      <c r="CTV54" s="1165"/>
      <c r="CTW54" s="1165"/>
      <c r="CTX54" s="1165"/>
      <c r="CTY54" s="1165"/>
      <c r="CTZ54" s="1165"/>
      <c r="CUA54" s="1165"/>
      <c r="CUB54" s="1165"/>
      <c r="CUC54" s="1165"/>
      <c r="CUD54" s="1165"/>
      <c r="CUE54" s="1165"/>
      <c r="CUF54" s="1165"/>
      <c r="CUG54" s="1165"/>
      <c r="CUH54" s="1165"/>
      <c r="CUI54" s="1165"/>
      <c r="CUJ54" s="1165"/>
      <c r="CUK54" s="1165"/>
      <c r="CUL54" s="1165"/>
      <c r="CUM54" s="1165"/>
      <c r="CUN54" s="1165"/>
      <c r="CUO54" s="1165"/>
      <c r="CUP54" s="1165"/>
      <c r="CUQ54" s="1165"/>
      <c r="CUR54" s="1165"/>
      <c r="CUS54" s="1165"/>
      <c r="CUT54" s="1165"/>
      <c r="CUU54" s="1165"/>
      <c r="CUV54" s="1165"/>
      <c r="CUW54" s="1165"/>
      <c r="CUX54" s="1165"/>
      <c r="CUY54" s="1165"/>
      <c r="CUZ54" s="1165"/>
      <c r="CVA54" s="1165"/>
      <c r="CVB54" s="1165"/>
      <c r="CVC54" s="1165"/>
      <c r="CVD54" s="1165"/>
      <c r="CVE54" s="1165"/>
      <c r="CVF54" s="1165"/>
      <c r="CVG54" s="1165"/>
      <c r="CVH54" s="1165"/>
      <c r="CVI54" s="1165"/>
      <c r="CVJ54" s="1165"/>
      <c r="CVK54" s="1165"/>
      <c r="CVL54" s="1165"/>
      <c r="CVM54" s="1165"/>
      <c r="CVN54" s="1165"/>
      <c r="CVO54" s="1165"/>
      <c r="CVP54" s="1165"/>
      <c r="CVQ54" s="1165"/>
      <c r="CVR54" s="1165"/>
      <c r="CVS54" s="1165"/>
      <c r="CVT54" s="1165"/>
      <c r="CVU54" s="1165"/>
      <c r="CVV54" s="1165"/>
      <c r="CVW54" s="1165"/>
      <c r="CVX54" s="1165"/>
      <c r="CVY54" s="1165"/>
      <c r="CVZ54" s="1165"/>
      <c r="CWA54" s="1165"/>
      <c r="CWB54" s="1165"/>
      <c r="CWC54" s="1165"/>
      <c r="CWD54" s="1165"/>
      <c r="CWE54" s="1165"/>
      <c r="CWF54" s="1165"/>
      <c r="CWG54" s="1165"/>
      <c r="CWH54" s="1165"/>
      <c r="CWI54" s="1165"/>
      <c r="CWJ54" s="1165"/>
      <c r="CWK54" s="1165"/>
      <c r="CWL54" s="1165"/>
      <c r="CWM54" s="1165"/>
      <c r="CWN54" s="1165"/>
      <c r="CWO54" s="1165"/>
      <c r="CWP54" s="1165"/>
      <c r="CWQ54" s="1165"/>
      <c r="CWR54" s="1165"/>
      <c r="CWS54" s="1165"/>
      <c r="CWT54" s="1165"/>
      <c r="CWU54" s="1165"/>
      <c r="CWV54" s="1165"/>
      <c r="CWW54" s="1165"/>
      <c r="CWX54" s="1165"/>
      <c r="CWY54" s="1165"/>
      <c r="CWZ54" s="1165"/>
      <c r="CXA54" s="1165"/>
      <c r="CXB54" s="1165"/>
      <c r="CXC54" s="1165"/>
      <c r="CXD54" s="1165"/>
      <c r="CXE54" s="1165"/>
      <c r="CXF54" s="1165"/>
      <c r="CXG54" s="1165"/>
      <c r="CXH54" s="1165"/>
      <c r="CXI54" s="1165"/>
      <c r="CXJ54" s="1165"/>
      <c r="CXK54" s="1165"/>
      <c r="CXL54" s="1165"/>
      <c r="CXM54" s="1165"/>
      <c r="CXN54" s="1165"/>
      <c r="CXO54" s="1165"/>
      <c r="CXP54" s="1165"/>
      <c r="CXQ54" s="1165"/>
      <c r="CXR54" s="1165"/>
      <c r="CXS54" s="1165"/>
      <c r="CXT54" s="1165"/>
      <c r="CXU54" s="1165"/>
      <c r="CXV54" s="1165"/>
      <c r="CXW54" s="1165"/>
      <c r="CXX54" s="1165"/>
      <c r="CXY54" s="1165"/>
      <c r="CXZ54" s="1165"/>
      <c r="CYA54" s="1165"/>
      <c r="CYB54" s="1165"/>
      <c r="CYC54" s="1165"/>
      <c r="CYD54" s="1165"/>
      <c r="CYE54" s="1165"/>
      <c r="CYF54" s="1165"/>
      <c r="CYG54" s="1165"/>
      <c r="CYH54" s="1165"/>
      <c r="CYI54" s="1165"/>
      <c r="CYJ54" s="1165"/>
      <c r="CYK54" s="1165"/>
      <c r="CYL54" s="1165"/>
      <c r="CYM54" s="1165"/>
      <c r="CYN54" s="1165"/>
      <c r="CYO54" s="1165"/>
      <c r="CYP54" s="1165"/>
      <c r="CYQ54" s="1165"/>
      <c r="CYR54" s="1165"/>
      <c r="CYS54" s="1165"/>
      <c r="CYT54" s="1165"/>
      <c r="CYU54" s="1165"/>
      <c r="CYV54" s="1165"/>
      <c r="CYW54" s="1165"/>
      <c r="CYX54" s="1165"/>
      <c r="CYY54" s="1165"/>
      <c r="CYZ54" s="1165"/>
      <c r="CZA54" s="1165"/>
      <c r="CZB54" s="1165"/>
      <c r="CZC54" s="1165"/>
      <c r="CZD54" s="1165"/>
      <c r="CZE54" s="1165"/>
      <c r="CZF54" s="1165"/>
      <c r="CZG54" s="1165"/>
      <c r="CZH54" s="1165"/>
      <c r="CZI54" s="1165"/>
      <c r="CZJ54" s="1165"/>
      <c r="CZK54" s="1165"/>
      <c r="CZL54" s="1165"/>
      <c r="CZM54" s="1165"/>
      <c r="CZN54" s="1165"/>
      <c r="CZO54" s="1165"/>
      <c r="CZP54" s="1165"/>
      <c r="CZQ54" s="1165"/>
      <c r="CZR54" s="1165"/>
      <c r="CZS54" s="1165"/>
      <c r="CZT54" s="1165"/>
      <c r="CZU54" s="1165"/>
      <c r="CZV54" s="1165"/>
      <c r="CZW54" s="1165"/>
      <c r="CZX54" s="1165"/>
      <c r="CZY54" s="1165"/>
      <c r="CZZ54" s="1165"/>
      <c r="DAA54" s="1165"/>
      <c r="DAB54" s="1165"/>
      <c r="DAC54" s="1165"/>
      <c r="DAD54" s="1165"/>
      <c r="DAE54" s="1165"/>
      <c r="DAF54" s="1165"/>
      <c r="DAG54" s="1165"/>
      <c r="DAH54" s="1165"/>
      <c r="DAI54" s="1165"/>
      <c r="DAJ54" s="1165"/>
      <c r="DAK54" s="1165"/>
      <c r="DAL54" s="1165"/>
      <c r="DAM54" s="1165"/>
      <c r="DAN54" s="1165"/>
      <c r="DAO54" s="1165"/>
      <c r="DAP54" s="1165"/>
      <c r="DAQ54" s="1165"/>
      <c r="DAR54" s="1165"/>
      <c r="DAS54" s="1165"/>
      <c r="DAT54" s="1165"/>
      <c r="DAU54" s="1165"/>
      <c r="DAV54" s="1165"/>
      <c r="DAW54" s="1165"/>
      <c r="DAX54" s="1165"/>
      <c r="DAY54" s="1165"/>
      <c r="DAZ54" s="1165"/>
      <c r="DBA54" s="1165"/>
      <c r="DBB54" s="1165"/>
      <c r="DBC54" s="1165"/>
      <c r="DBD54" s="1165"/>
      <c r="DBE54" s="1165"/>
      <c r="DBF54" s="1165"/>
      <c r="DBG54" s="1165"/>
      <c r="DBH54" s="1165"/>
      <c r="DBI54" s="1165"/>
      <c r="DBJ54" s="1165"/>
      <c r="DBK54" s="1165"/>
      <c r="DBL54" s="1165"/>
      <c r="DBM54" s="1165"/>
      <c r="DBN54" s="1165"/>
      <c r="DBO54" s="1165"/>
      <c r="DBP54" s="1165"/>
      <c r="DBQ54" s="1165"/>
      <c r="DBR54" s="1165"/>
      <c r="DBS54" s="1165"/>
      <c r="DBT54" s="1165"/>
      <c r="DBU54" s="1165"/>
      <c r="DBV54" s="1165"/>
      <c r="DBW54" s="1165"/>
      <c r="DBX54" s="1165"/>
      <c r="DBY54" s="1165"/>
      <c r="DBZ54" s="1165"/>
      <c r="DCA54" s="1165"/>
      <c r="DCB54" s="1165"/>
      <c r="DCC54" s="1165"/>
      <c r="DCD54" s="1165"/>
      <c r="DCE54" s="1165"/>
      <c r="DCF54" s="1165"/>
      <c r="DCG54" s="1165"/>
      <c r="DCH54" s="1165"/>
      <c r="DCI54" s="1165"/>
      <c r="DCJ54" s="1165"/>
      <c r="DCK54" s="1165"/>
      <c r="DCL54" s="1165"/>
      <c r="DCM54" s="1165"/>
      <c r="DCN54" s="1165"/>
      <c r="DCO54" s="1165"/>
      <c r="DCP54" s="1165"/>
      <c r="DCQ54" s="1165"/>
      <c r="DCR54" s="1165"/>
      <c r="DCS54" s="1165"/>
      <c r="DCT54" s="1165"/>
      <c r="DCU54" s="1165"/>
      <c r="DCV54" s="1165"/>
      <c r="DCW54" s="1165"/>
      <c r="DCX54" s="1165"/>
      <c r="DCY54" s="1165"/>
      <c r="DCZ54" s="1165"/>
      <c r="DDA54" s="1165"/>
      <c r="DDB54" s="1165"/>
      <c r="DDC54" s="1165"/>
      <c r="DDD54" s="1165"/>
      <c r="DDE54" s="1165"/>
      <c r="DDF54" s="1165"/>
      <c r="DDG54" s="1165"/>
      <c r="DDH54" s="1165"/>
      <c r="DDI54" s="1165"/>
      <c r="DDJ54" s="1165"/>
      <c r="DDK54" s="1165"/>
      <c r="DDL54" s="1165"/>
      <c r="DDM54" s="1165"/>
      <c r="DDN54" s="1165"/>
      <c r="DDO54" s="1165"/>
      <c r="DDP54" s="1165"/>
      <c r="DDQ54" s="1165"/>
      <c r="DDR54" s="1165"/>
      <c r="DDS54" s="1165"/>
      <c r="DDT54" s="1165"/>
      <c r="DDU54" s="1165"/>
      <c r="DDV54" s="1165"/>
      <c r="DDW54" s="1165"/>
      <c r="DDX54" s="1165"/>
      <c r="DDY54" s="1165"/>
      <c r="DDZ54" s="1165"/>
      <c r="DEA54" s="1165"/>
      <c r="DEB54" s="1165"/>
      <c r="DEC54" s="1165"/>
      <c r="DED54" s="1165"/>
      <c r="DEE54" s="1165"/>
      <c r="DEF54" s="1165"/>
      <c r="DEG54" s="1165"/>
      <c r="DEH54" s="1165"/>
      <c r="DEI54" s="1165"/>
      <c r="DEJ54" s="1165"/>
      <c r="DEK54" s="1165"/>
      <c r="DEL54" s="1165"/>
      <c r="DEM54" s="1165"/>
      <c r="DEN54" s="1165"/>
      <c r="DEO54" s="1165"/>
      <c r="DEP54" s="1165"/>
      <c r="DEQ54" s="1165"/>
      <c r="DER54" s="1165"/>
      <c r="DES54" s="1165"/>
      <c r="DET54" s="1165"/>
      <c r="DEU54" s="1165"/>
      <c r="DEV54" s="1165"/>
      <c r="DEW54" s="1165"/>
      <c r="DEX54" s="1165"/>
      <c r="DEY54" s="1165"/>
      <c r="DEZ54" s="1165"/>
      <c r="DFA54" s="1165"/>
      <c r="DFB54" s="1165"/>
      <c r="DFC54" s="1165"/>
      <c r="DFD54" s="1165"/>
      <c r="DFE54" s="1165"/>
      <c r="DFF54" s="1165"/>
      <c r="DFG54" s="1165"/>
      <c r="DFH54" s="1165"/>
      <c r="DFI54" s="1165"/>
      <c r="DFJ54" s="1165"/>
      <c r="DFK54" s="1165"/>
      <c r="DFL54" s="1165"/>
      <c r="DFM54" s="1165"/>
      <c r="DFN54" s="1165"/>
      <c r="DFO54" s="1165"/>
      <c r="DFP54" s="1165"/>
      <c r="DFQ54" s="1165"/>
      <c r="DFR54" s="1165"/>
      <c r="DFS54" s="1165"/>
      <c r="DFT54" s="1165"/>
      <c r="DFU54" s="1165"/>
      <c r="DFV54" s="1165"/>
      <c r="DFW54" s="1165"/>
      <c r="DFX54" s="1165"/>
      <c r="DFY54" s="1165"/>
      <c r="DFZ54" s="1165"/>
      <c r="DGA54" s="1165"/>
      <c r="DGB54" s="1165"/>
      <c r="DGC54" s="1165"/>
      <c r="DGD54" s="1165"/>
      <c r="DGE54" s="1165"/>
      <c r="DGF54" s="1165"/>
      <c r="DGG54" s="1165"/>
      <c r="DGH54" s="1165"/>
      <c r="DGI54" s="1165"/>
      <c r="DGJ54" s="1165"/>
      <c r="DGK54" s="1165"/>
      <c r="DGL54" s="1165"/>
      <c r="DGM54" s="1165"/>
      <c r="DGN54" s="1165"/>
      <c r="DGO54" s="1165"/>
      <c r="DGP54" s="1165"/>
      <c r="DGQ54" s="1165"/>
      <c r="DGR54" s="1165"/>
      <c r="DGS54" s="1165"/>
      <c r="DGT54" s="1165"/>
      <c r="DGU54" s="1165"/>
      <c r="DGV54" s="1165"/>
      <c r="DGW54" s="1165"/>
      <c r="DGX54" s="1165"/>
      <c r="DGY54" s="1165"/>
      <c r="DGZ54" s="1165"/>
      <c r="DHA54" s="1165"/>
      <c r="DHB54" s="1165"/>
      <c r="DHC54" s="1165"/>
      <c r="DHD54" s="1165"/>
      <c r="DHE54" s="1165"/>
      <c r="DHF54" s="1165"/>
      <c r="DHG54" s="1165"/>
      <c r="DHH54" s="1165"/>
      <c r="DHI54" s="1165"/>
      <c r="DHJ54" s="1165"/>
      <c r="DHK54" s="1165"/>
      <c r="DHL54" s="1165"/>
      <c r="DHM54" s="1165"/>
      <c r="DHN54" s="1165"/>
      <c r="DHO54" s="1165"/>
      <c r="DHP54" s="1165"/>
      <c r="DHQ54" s="1165"/>
      <c r="DHR54" s="1165"/>
      <c r="DHS54" s="1165"/>
      <c r="DHT54" s="1165"/>
      <c r="DHU54" s="1165"/>
      <c r="DHV54" s="1165"/>
      <c r="DHW54" s="1165"/>
      <c r="DHX54" s="1165"/>
      <c r="DHY54" s="1165"/>
      <c r="DHZ54" s="1165"/>
      <c r="DIA54" s="1165"/>
      <c r="DIB54" s="1165"/>
      <c r="DIC54" s="1165"/>
      <c r="DID54" s="1165"/>
      <c r="DIE54" s="1165"/>
      <c r="DIF54" s="1165"/>
      <c r="DIG54" s="1165"/>
      <c r="DIH54" s="1165"/>
      <c r="DII54" s="1165"/>
      <c r="DIJ54" s="1165"/>
      <c r="DIK54" s="1165"/>
      <c r="DIL54" s="1165"/>
      <c r="DIM54" s="1165"/>
      <c r="DIN54" s="1165"/>
      <c r="DIO54" s="1165"/>
      <c r="DIP54" s="1165"/>
      <c r="DIQ54" s="1165"/>
      <c r="DIR54" s="1165"/>
      <c r="DIS54" s="1165"/>
      <c r="DIT54" s="1165"/>
      <c r="DIU54" s="1165"/>
      <c r="DIV54" s="1165"/>
      <c r="DIW54" s="1165"/>
      <c r="DIX54" s="1165"/>
      <c r="DIY54" s="1165"/>
      <c r="DIZ54" s="1165"/>
      <c r="DJA54" s="1165"/>
      <c r="DJB54" s="1165"/>
      <c r="DJC54" s="1165"/>
      <c r="DJD54" s="1165"/>
      <c r="DJE54" s="1165"/>
      <c r="DJF54" s="1165"/>
      <c r="DJG54" s="1165"/>
      <c r="DJH54" s="1165"/>
      <c r="DJI54" s="1165"/>
      <c r="DJJ54" s="1165"/>
      <c r="DJK54" s="1165"/>
      <c r="DJL54" s="1165"/>
      <c r="DJM54" s="1165"/>
      <c r="DJN54" s="1165"/>
      <c r="DJO54" s="1165"/>
      <c r="DJP54" s="1165"/>
      <c r="DJQ54" s="1165"/>
      <c r="DJR54" s="1165"/>
      <c r="DJS54" s="1165"/>
      <c r="DJT54" s="1165"/>
      <c r="DJU54" s="1165"/>
      <c r="DJV54" s="1165"/>
      <c r="DJW54" s="1165"/>
      <c r="DJX54" s="1165"/>
      <c r="DJY54" s="1165"/>
      <c r="DJZ54" s="1165"/>
      <c r="DKA54" s="1165"/>
      <c r="DKB54" s="1165"/>
      <c r="DKC54" s="1165"/>
      <c r="DKD54" s="1165"/>
      <c r="DKE54" s="1165"/>
      <c r="DKF54" s="1165"/>
      <c r="DKG54" s="1165"/>
      <c r="DKH54" s="1165"/>
      <c r="DKI54" s="1165"/>
      <c r="DKJ54" s="1165"/>
      <c r="DKK54" s="1165"/>
      <c r="DKL54" s="1165"/>
      <c r="DKM54" s="1165"/>
      <c r="DKN54" s="1165"/>
      <c r="DKO54" s="1165"/>
      <c r="DKP54" s="1165"/>
      <c r="DKQ54" s="1165"/>
      <c r="DKR54" s="1165"/>
      <c r="DKS54" s="1165"/>
      <c r="DKT54" s="1165"/>
      <c r="DKU54" s="1165"/>
      <c r="DKV54" s="1165"/>
      <c r="DKW54" s="1165"/>
      <c r="DKX54" s="1165"/>
      <c r="DKY54" s="1165"/>
      <c r="DKZ54" s="1165"/>
      <c r="DLA54" s="1165"/>
      <c r="DLB54" s="1165"/>
      <c r="DLC54" s="1165"/>
      <c r="DLD54" s="1165"/>
      <c r="DLE54" s="1165"/>
      <c r="DLF54" s="1165"/>
      <c r="DLG54" s="1165"/>
      <c r="DLH54" s="1165"/>
      <c r="DLI54" s="1165"/>
      <c r="DLJ54" s="1165"/>
      <c r="DLK54" s="1165"/>
      <c r="DLL54" s="1165"/>
      <c r="DLM54" s="1165"/>
      <c r="DLN54" s="1165"/>
      <c r="DLO54" s="1165"/>
      <c r="DLP54" s="1165"/>
      <c r="DLQ54" s="1165"/>
      <c r="DLR54" s="1165"/>
      <c r="DLS54" s="1165"/>
      <c r="DLT54" s="1165"/>
      <c r="DLU54" s="1165"/>
      <c r="DLV54" s="1165"/>
      <c r="DLW54" s="1165"/>
      <c r="DLX54" s="1165"/>
      <c r="DLY54" s="1165"/>
      <c r="DLZ54" s="1165"/>
      <c r="DMA54" s="1165"/>
      <c r="DMB54" s="1165"/>
      <c r="DMC54" s="1165"/>
      <c r="DMD54" s="1165"/>
      <c r="DME54" s="1165"/>
      <c r="DMF54" s="1165"/>
      <c r="DMG54" s="1165"/>
      <c r="DMH54" s="1165"/>
      <c r="DMI54" s="1165"/>
      <c r="DMJ54" s="1165"/>
      <c r="DMK54" s="1165"/>
      <c r="DML54" s="1165"/>
      <c r="DMM54" s="1165"/>
      <c r="DMN54" s="1165"/>
      <c r="DMO54" s="1165"/>
      <c r="DMP54" s="1165"/>
      <c r="DMQ54" s="1165"/>
      <c r="DMR54" s="1165"/>
      <c r="DMS54" s="1165"/>
      <c r="DMT54" s="1165"/>
      <c r="DMU54" s="1165"/>
      <c r="DMV54" s="1165"/>
      <c r="DMW54" s="1165"/>
      <c r="DMX54" s="1165"/>
      <c r="DMY54" s="1165"/>
      <c r="DMZ54" s="1165"/>
      <c r="DNA54" s="1165"/>
      <c r="DNB54" s="1165"/>
      <c r="DNC54" s="1165"/>
      <c r="DND54" s="1165"/>
      <c r="DNE54" s="1165"/>
      <c r="DNF54" s="1165"/>
      <c r="DNG54" s="1165"/>
      <c r="DNH54" s="1165"/>
      <c r="DNI54" s="1165"/>
      <c r="DNJ54" s="1165"/>
      <c r="DNK54" s="1165"/>
      <c r="DNL54" s="1165"/>
      <c r="DNM54" s="1165"/>
      <c r="DNN54" s="1165"/>
      <c r="DNO54" s="1165"/>
      <c r="DNP54" s="1165"/>
      <c r="DNQ54" s="1165"/>
      <c r="DNR54" s="1165"/>
      <c r="DNS54" s="1165"/>
      <c r="DNT54" s="1165"/>
      <c r="DNU54" s="1165"/>
      <c r="DNV54" s="1165"/>
      <c r="DNW54" s="1165"/>
      <c r="DNX54" s="1165"/>
      <c r="DNY54" s="1165"/>
      <c r="DNZ54" s="1165"/>
      <c r="DOA54" s="1165"/>
      <c r="DOB54" s="1165"/>
      <c r="DOC54" s="1165"/>
      <c r="DOD54" s="1165"/>
      <c r="DOE54" s="1165"/>
      <c r="DOF54" s="1165"/>
      <c r="DOG54" s="1165"/>
      <c r="DOH54" s="1165"/>
      <c r="DOI54" s="1165"/>
      <c r="DOJ54" s="1165"/>
      <c r="DOK54" s="1165"/>
      <c r="DOL54" s="1165"/>
      <c r="DOM54" s="1165"/>
      <c r="DON54" s="1165"/>
      <c r="DOO54" s="1165"/>
      <c r="DOP54" s="1165"/>
      <c r="DOQ54" s="1165"/>
      <c r="DOR54" s="1165"/>
      <c r="DOS54" s="1165"/>
      <c r="DOT54" s="1165"/>
      <c r="DOU54" s="1165"/>
      <c r="DOV54" s="1165"/>
      <c r="DOW54" s="1165"/>
      <c r="DOX54" s="1165"/>
      <c r="DOY54" s="1165"/>
      <c r="DOZ54" s="1165"/>
      <c r="DPA54" s="1165"/>
      <c r="DPB54" s="1165"/>
      <c r="DPC54" s="1165"/>
      <c r="DPD54" s="1165"/>
      <c r="DPE54" s="1165"/>
      <c r="DPF54" s="1165"/>
      <c r="DPG54" s="1165"/>
      <c r="DPH54" s="1165"/>
      <c r="DPI54" s="1165"/>
      <c r="DPJ54" s="1165"/>
      <c r="DPK54" s="1165"/>
      <c r="DPL54" s="1165"/>
      <c r="DPM54" s="1165"/>
      <c r="DPN54" s="1165"/>
      <c r="DPO54" s="1165"/>
      <c r="DPP54" s="1165"/>
      <c r="DPQ54" s="1165"/>
      <c r="DPR54" s="1165"/>
      <c r="DPS54" s="1165"/>
      <c r="DPT54" s="1165"/>
      <c r="DPU54" s="1165"/>
      <c r="DPV54" s="1165"/>
      <c r="DPW54" s="1165"/>
      <c r="DPX54" s="1165"/>
      <c r="DPY54" s="1165"/>
      <c r="DPZ54" s="1165"/>
      <c r="DQA54" s="1165"/>
      <c r="DQB54" s="1165"/>
      <c r="DQC54" s="1165"/>
      <c r="DQD54" s="1165"/>
      <c r="DQE54" s="1165"/>
      <c r="DQF54" s="1165"/>
      <c r="DQG54" s="1165"/>
      <c r="DQH54" s="1165"/>
      <c r="DQI54" s="1165"/>
      <c r="DQJ54" s="1165"/>
      <c r="DQK54" s="1165"/>
      <c r="DQL54" s="1165"/>
      <c r="DQM54" s="1165"/>
      <c r="DQN54" s="1165"/>
      <c r="DQO54" s="1165"/>
      <c r="DQP54" s="1165"/>
      <c r="DQQ54" s="1165"/>
      <c r="DQR54" s="1165"/>
      <c r="DQS54" s="1165"/>
      <c r="DQT54" s="1165"/>
      <c r="DQU54" s="1165"/>
      <c r="DQV54" s="1165"/>
      <c r="DQW54" s="1165"/>
      <c r="DQX54" s="1165"/>
      <c r="DQY54" s="1165"/>
      <c r="DQZ54" s="1165"/>
      <c r="DRA54" s="1165"/>
      <c r="DRB54" s="1165"/>
      <c r="DRC54" s="1165"/>
      <c r="DRD54" s="1165"/>
      <c r="DRE54" s="1165"/>
      <c r="DRF54" s="1165"/>
      <c r="DRG54" s="1165"/>
      <c r="DRH54" s="1165"/>
      <c r="DRI54" s="1165"/>
      <c r="DRJ54" s="1165"/>
      <c r="DRK54" s="1165"/>
      <c r="DRL54" s="1165"/>
      <c r="DRM54" s="1165"/>
      <c r="DRN54" s="1165"/>
      <c r="DRO54" s="1165"/>
      <c r="DRP54" s="1165"/>
      <c r="DRQ54" s="1165"/>
      <c r="DRR54" s="1165"/>
      <c r="DRS54" s="1165"/>
      <c r="DRT54" s="1165"/>
      <c r="DRU54" s="1165"/>
      <c r="DRV54" s="1165"/>
      <c r="DRW54" s="1165"/>
      <c r="DRX54" s="1165"/>
      <c r="DRY54" s="1165"/>
      <c r="DRZ54" s="1165"/>
      <c r="DSA54" s="1165"/>
      <c r="DSB54" s="1165"/>
      <c r="DSC54" s="1165"/>
      <c r="DSD54" s="1165"/>
      <c r="DSE54" s="1165"/>
      <c r="DSF54" s="1165"/>
      <c r="DSG54" s="1165"/>
      <c r="DSH54" s="1165"/>
      <c r="DSI54" s="1165"/>
      <c r="DSJ54" s="1165"/>
      <c r="DSK54" s="1165"/>
      <c r="DSL54" s="1165"/>
      <c r="DSM54" s="1165"/>
      <c r="DSN54" s="1165"/>
      <c r="DSO54" s="1165"/>
      <c r="DSP54" s="1165"/>
      <c r="DSQ54" s="1165"/>
      <c r="DSR54" s="1165"/>
      <c r="DSS54" s="1165"/>
      <c r="DST54" s="1165"/>
      <c r="DSU54" s="1165"/>
      <c r="DSV54" s="1165"/>
      <c r="DSW54" s="1165"/>
      <c r="DSX54" s="1165"/>
      <c r="DSY54" s="1165"/>
      <c r="DSZ54" s="1165"/>
      <c r="DTA54" s="1165"/>
      <c r="DTB54" s="1165"/>
      <c r="DTC54" s="1165"/>
      <c r="DTD54" s="1165"/>
      <c r="DTE54" s="1165"/>
      <c r="DTF54" s="1165"/>
      <c r="DTG54" s="1165"/>
      <c r="DTH54" s="1165"/>
      <c r="DTI54" s="1165"/>
      <c r="DTJ54" s="1165"/>
      <c r="DTK54" s="1165"/>
      <c r="DTL54" s="1165"/>
      <c r="DTM54" s="1165"/>
      <c r="DTN54" s="1165"/>
      <c r="DTO54" s="1165"/>
      <c r="DTP54" s="1165"/>
      <c r="DTQ54" s="1165"/>
      <c r="DTR54" s="1165"/>
      <c r="DTS54" s="1165"/>
      <c r="DTT54" s="1165"/>
      <c r="DTU54" s="1165"/>
      <c r="DTV54" s="1165"/>
      <c r="DTW54" s="1165"/>
      <c r="DTX54" s="1165"/>
      <c r="DTY54" s="1165"/>
      <c r="DTZ54" s="1165"/>
      <c r="DUA54" s="1165"/>
      <c r="DUB54" s="1165"/>
      <c r="DUC54" s="1165"/>
      <c r="DUD54" s="1165"/>
      <c r="DUE54" s="1165"/>
      <c r="DUF54" s="1165"/>
      <c r="DUG54" s="1165"/>
      <c r="DUH54" s="1165"/>
      <c r="DUI54" s="1165"/>
      <c r="DUJ54" s="1165"/>
      <c r="DUK54" s="1165"/>
      <c r="DUL54" s="1165"/>
      <c r="DUM54" s="1165"/>
      <c r="DUN54" s="1165"/>
      <c r="DUO54" s="1165"/>
      <c r="DUP54" s="1165"/>
      <c r="DUQ54" s="1165"/>
      <c r="DUR54" s="1165"/>
      <c r="DUS54" s="1165"/>
      <c r="DUT54" s="1165"/>
      <c r="DUU54" s="1165"/>
      <c r="DUV54" s="1165"/>
      <c r="DUW54" s="1165"/>
      <c r="DUX54" s="1165"/>
      <c r="DUY54" s="1165"/>
      <c r="DUZ54" s="1165"/>
      <c r="DVA54" s="1165"/>
      <c r="DVB54" s="1165"/>
      <c r="DVC54" s="1165"/>
      <c r="DVD54" s="1165"/>
      <c r="DVE54" s="1165"/>
      <c r="DVF54" s="1165"/>
      <c r="DVG54" s="1165"/>
      <c r="DVH54" s="1165"/>
      <c r="DVI54" s="1165"/>
      <c r="DVJ54" s="1165"/>
      <c r="DVK54" s="1165"/>
      <c r="DVL54" s="1165"/>
      <c r="DVM54" s="1165"/>
      <c r="DVN54" s="1165"/>
      <c r="DVO54" s="1165"/>
      <c r="DVP54" s="1165"/>
      <c r="DVQ54" s="1165"/>
      <c r="DVR54" s="1165"/>
      <c r="DVS54" s="1165"/>
      <c r="DVT54" s="1165"/>
      <c r="DVU54" s="1165"/>
      <c r="DVV54" s="1165"/>
      <c r="DVW54" s="1165"/>
      <c r="DVX54" s="1165"/>
      <c r="DVY54" s="1165"/>
      <c r="DVZ54" s="1165"/>
      <c r="DWA54" s="1165"/>
      <c r="DWB54" s="1165"/>
      <c r="DWC54" s="1165"/>
      <c r="DWD54" s="1165"/>
      <c r="DWE54" s="1165"/>
      <c r="DWF54" s="1165"/>
      <c r="DWG54" s="1165"/>
      <c r="DWH54" s="1165"/>
      <c r="DWI54" s="1165"/>
      <c r="DWJ54" s="1165"/>
      <c r="DWK54" s="1165"/>
      <c r="DWL54" s="1165"/>
      <c r="DWM54" s="1165"/>
      <c r="DWN54" s="1165"/>
      <c r="DWO54" s="1165"/>
      <c r="DWP54" s="1165"/>
      <c r="DWQ54" s="1165"/>
      <c r="DWR54" s="1165"/>
      <c r="DWS54" s="1165"/>
      <c r="DWT54" s="1165"/>
      <c r="DWU54" s="1165"/>
      <c r="DWV54" s="1165"/>
      <c r="DWW54" s="1165"/>
      <c r="DWX54" s="1165"/>
      <c r="DWY54" s="1165"/>
      <c r="DWZ54" s="1165"/>
      <c r="DXA54" s="1165"/>
      <c r="DXB54" s="1165"/>
      <c r="DXC54" s="1165"/>
      <c r="DXD54" s="1165"/>
      <c r="DXE54" s="1165"/>
      <c r="DXF54" s="1165"/>
      <c r="DXG54" s="1165"/>
      <c r="DXH54" s="1165"/>
      <c r="DXI54" s="1165"/>
      <c r="DXJ54" s="1165"/>
      <c r="DXK54" s="1165"/>
      <c r="DXL54" s="1165"/>
      <c r="DXM54" s="1165"/>
      <c r="DXN54" s="1165"/>
      <c r="DXO54" s="1165"/>
      <c r="DXP54" s="1165"/>
      <c r="DXQ54" s="1165"/>
      <c r="DXR54" s="1165"/>
      <c r="DXS54" s="1165"/>
      <c r="DXT54" s="1165"/>
      <c r="DXU54" s="1165"/>
      <c r="DXV54" s="1165"/>
      <c r="DXW54" s="1165"/>
      <c r="DXX54" s="1165"/>
      <c r="DXY54" s="1165"/>
      <c r="DXZ54" s="1165"/>
      <c r="DYA54" s="1165"/>
      <c r="DYB54" s="1165"/>
      <c r="DYC54" s="1165"/>
      <c r="DYD54" s="1165"/>
      <c r="DYE54" s="1165"/>
      <c r="DYF54" s="1165"/>
      <c r="DYG54" s="1165"/>
      <c r="DYH54" s="1165"/>
      <c r="DYI54" s="1165"/>
      <c r="DYJ54" s="1165"/>
      <c r="DYK54" s="1165"/>
      <c r="DYL54" s="1165"/>
      <c r="DYM54" s="1165"/>
      <c r="DYN54" s="1165"/>
      <c r="DYO54" s="1165"/>
      <c r="DYP54" s="1165"/>
      <c r="DYQ54" s="1165"/>
      <c r="DYR54" s="1165"/>
      <c r="DYS54" s="1165"/>
      <c r="DYT54" s="1165"/>
      <c r="DYU54" s="1165"/>
      <c r="DYV54" s="1165"/>
      <c r="DYW54" s="1165"/>
      <c r="DYX54" s="1165"/>
      <c r="DYY54" s="1165"/>
      <c r="DYZ54" s="1165"/>
      <c r="DZA54" s="1165"/>
      <c r="DZB54" s="1165"/>
      <c r="DZC54" s="1165"/>
      <c r="DZD54" s="1165"/>
      <c r="DZE54" s="1165"/>
      <c r="DZF54" s="1165"/>
      <c r="DZG54" s="1165"/>
      <c r="DZH54" s="1165"/>
      <c r="DZI54" s="1165"/>
      <c r="DZJ54" s="1165"/>
      <c r="DZK54" s="1165"/>
      <c r="DZL54" s="1165"/>
      <c r="DZM54" s="1165"/>
      <c r="DZN54" s="1165"/>
      <c r="DZO54" s="1165"/>
      <c r="DZP54" s="1165"/>
      <c r="DZQ54" s="1165"/>
      <c r="DZR54" s="1165"/>
      <c r="DZS54" s="1165"/>
      <c r="DZT54" s="1165"/>
      <c r="DZU54" s="1165"/>
      <c r="DZV54" s="1165"/>
      <c r="DZW54" s="1165"/>
      <c r="DZX54" s="1165"/>
      <c r="DZY54" s="1165"/>
      <c r="DZZ54" s="1165"/>
      <c r="EAA54" s="1165"/>
      <c r="EAB54" s="1165"/>
      <c r="EAC54" s="1165"/>
      <c r="EAD54" s="1165"/>
      <c r="EAE54" s="1165"/>
      <c r="EAF54" s="1165"/>
      <c r="EAG54" s="1165"/>
      <c r="EAH54" s="1165"/>
      <c r="EAI54" s="1165"/>
      <c r="EAJ54" s="1165"/>
      <c r="EAK54" s="1165"/>
      <c r="EAL54" s="1165"/>
      <c r="EAM54" s="1165"/>
      <c r="EAN54" s="1165"/>
      <c r="EAO54" s="1165"/>
      <c r="EAP54" s="1165"/>
      <c r="EAQ54" s="1165"/>
      <c r="EAR54" s="1165"/>
      <c r="EAS54" s="1165"/>
      <c r="EAT54" s="1165"/>
      <c r="EAU54" s="1165"/>
      <c r="EAV54" s="1165"/>
      <c r="EAW54" s="1165"/>
      <c r="EAX54" s="1165"/>
      <c r="EAY54" s="1165"/>
      <c r="EAZ54" s="1165"/>
      <c r="EBA54" s="1165"/>
      <c r="EBB54" s="1165"/>
      <c r="EBC54" s="1165"/>
      <c r="EBD54" s="1165"/>
      <c r="EBE54" s="1165"/>
      <c r="EBF54" s="1165"/>
      <c r="EBG54" s="1165"/>
      <c r="EBH54" s="1165"/>
      <c r="EBI54" s="1165"/>
      <c r="EBJ54" s="1165"/>
      <c r="EBK54" s="1165"/>
      <c r="EBL54" s="1165"/>
      <c r="EBM54" s="1165"/>
      <c r="EBN54" s="1165"/>
      <c r="EBO54" s="1165"/>
      <c r="EBP54" s="1165"/>
      <c r="EBQ54" s="1165"/>
      <c r="EBR54" s="1165"/>
      <c r="EBS54" s="1165"/>
      <c r="EBT54" s="1165"/>
      <c r="EBU54" s="1165"/>
      <c r="EBV54" s="1165"/>
      <c r="EBW54" s="1165"/>
      <c r="EBX54" s="1165"/>
      <c r="EBY54" s="1165"/>
      <c r="EBZ54" s="1165"/>
      <c r="ECA54" s="1165"/>
      <c r="ECB54" s="1165"/>
      <c r="ECC54" s="1165"/>
      <c r="ECD54" s="1165"/>
      <c r="ECE54" s="1165"/>
      <c r="ECF54" s="1165"/>
      <c r="ECG54" s="1165"/>
      <c r="ECH54" s="1165"/>
      <c r="ECI54" s="1165"/>
      <c r="ECJ54" s="1165"/>
      <c r="ECK54" s="1165"/>
      <c r="ECL54" s="1165"/>
      <c r="ECM54" s="1165"/>
      <c r="ECN54" s="1165"/>
      <c r="ECO54" s="1165"/>
      <c r="ECP54" s="1165"/>
      <c r="ECQ54" s="1165"/>
      <c r="ECR54" s="1165"/>
      <c r="ECS54" s="1165"/>
      <c r="ECT54" s="1165"/>
      <c r="ECU54" s="1165"/>
      <c r="ECV54" s="1165"/>
      <c r="ECW54" s="1165"/>
      <c r="ECX54" s="1165"/>
      <c r="ECY54" s="1165"/>
      <c r="ECZ54" s="1165"/>
      <c r="EDA54" s="1165"/>
      <c r="EDB54" s="1165"/>
      <c r="EDC54" s="1165"/>
      <c r="EDD54" s="1165"/>
      <c r="EDE54" s="1165"/>
      <c r="EDF54" s="1165"/>
      <c r="EDG54" s="1165"/>
      <c r="EDH54" s="1165"/>
      <c r="EDI54" s="1165"/>
      <c r="EDJ54" s="1165"/>
      <c r="EDK54" s="1165"/>
      <c r="EDL54" s="1165"/>
      <c r="EDM54" s="1165"/>
      <c r="EDN54" s="1165"/>
      <c r="EDO54" s="1165"/>
      <c r="EDP54" s="1165"/>
      <c r="EDQ54" s="1165"/>
      <c r="EDR54" s="1165"/>
      <c r="EDS54" s="1165"/>
      <c r="EDT54" s="1165"/>
      <c r="EDU54" s="1165"/>
      <c r="EDV54" s="1165"/>
      <c r="EDW54" s="1165"/>
      <c r="EDX54" s="1165"/>
      <c r="EDY54" s="1165"/>
      <c r="EDZ54" s="1165"/>
      <c r="EEA54" s="1165"/>
      <c r="EEB54" s="1165"/>
      <c r="EEC54" s="1165"/>
      <c r="EED54" s="1165"/>
      <c r="EEE54" s="1165"/>
      <c r="EEF54" s="1165"/>
      <c r="EEG54" s="1165"/>
      <c r="EEH54" s="1165"/>
      <c r="EEI54" s="1165"/>
      <c r="EEJ54" s="1165"/>
      <c r="EEK54" s="1165"/>
      <c r="EEL54" s="1165"/>
      <c r="EEM54" s="1165"/>
      <c r="EEN54" s="1165"/>
      <c r="EEO54" s="1165"/>
      <c r="EEP54" s="1165"/>
      <c r="EEQ54" s="1165"/>
      <c r="EER54" s="1165"/>
      <c r="EES54" s="1165"/>
      <c r="EET54" s="1165"/>
      <c r="EEU54" s="1165"/>
      <c r="EEV54" s="1165"/>
      <c r="EEW54" s="1165"/>
      <c r="EEX54" s="1165"/>
      <c r="EEY54" s="1165"/>
      <c r="EEZ54" s="1165"/>
      <c r="EFA54" s="1165"/>
      <c r="EFB54" s="1165"/>
      <c r="EFC54" s="1165"/>
      <c r="EFD54" s="1165"/>
      <c r="EFE54" s="1165"/>
      <c r="EFF54" s="1165"/>
      <c r="EFG54" s="1165"/>
      <c r="EFH54" s="1165"/>
      <c r="EFI54" s="1165"/>
      <c r="EFJ54" s="1165"/>
      <c r="EFK54" s="1165"/>
      <c r="EFL54" s="1165"/>
      <c r="EFM54" s="1165"/>
      <c r="EFN54" s="1165"/>
      <c r="EFO54" s="1165"/>
      <c r="EFP54" s="1165"/>
      <c r="EFQ54" s="1165"/>
      <c r="EFR54" s="1165"/>
      <c r="EFS54" s="1165"/>
      <c r="EFT54" s="1165"/>
      <c r="EFU54" s="1165"/>
      <c r="EFV54" s="1165"/>
      <c r="EFW54" s="1165"/>
      <c r="EFX54" s="1165"/>
      <c r="EFY54" s="1165"/>
      <c r="EFZ54" s="1165"/>
      <c r="EGA54" s="1165"/>
      <c r="EGB54" s="1165"/>
      <c r="EGC54" s="1165"/>
      <c r="EGD54" s="1165"/>
      <c r="EGE54" s="1165"/>
      <c r="EGF54" s="1165"/>
      <c r="EGG54" s="1165"/>
      <c r="EGH54" s="1165"/>
      <c r="EGI54" s="1165"/>
      <c r="EGJ54" s="1165"/>
      <c r="EGK54" s="1165"/>
      <c r="EGL54" s="1165"/>
      <c r="EGM54" s="1165"/>
      <c r="EGN54" s="1165"/>
      <c r="EGO54" s="1165"/>
      <c r="EGP54" s="1165"/>
      <c r="EGQ54" s="1165"/>
      <c r="EGR54" s="1165"/>
      <c r="EGS54" s="1165"/>
      <c r="EGT54" s="1165"/>
      <c r="EGU54" s="1165"/>
      <c r="EGV54" s="1165"/>
      <c r="EGW54" s="1165"/>
      <c r="EGX54" s="1165"/>
      <c r="EGY54" s="1165"/>
      <c r="EGZ54" s="1165"/>
      <c r="EHA54" s="1165"/>
      <c r="EHB54" s="1165"/>
      <c r="EHC54" s="1165"/>
      <c r="EHD54" s="1165"/>
      <c r="EHE54" s="1165"/>
      <c r="EHF54" s="1165"/>
      <c r="EHG54" s="1165"/>
      <c r="EHH54" s="1165"/>
      <c r="EHI54" s="1165"/>
      <c r="EHJ54" s="1165"/>
      <c r="EHK54" s="1165"/>
      <c r="EHL54" s="1165"/>
      <c r="EHM54" s="1165"/>
      <c r="EHN54" s="1165"/>
      <c r="EHO54" s="1165"/>
      <c r="EHP54" s="1165"/>
      <c r="EHQ54" s="1165"/>
      <c r="EHR54" s="1165"/>
      <c r="EHS54" s="1165"/>
      <c r="EHT54" s="1165"/>
      <c r="EHU54" s="1165"/>
      <c r="EHV54" s="1165"/>
      <c r="EHW54" s="1165"/>
      <c r="EHX54" s="1165"/>
      <c r="EHY54" s="1165"/>
      <c r="EHZ54" s="1165"/>
      <c r="EIA54" s="1165"/>
      <c r="EIB54" s="1165"/>
      <c r="EIC54" s="1165"/>
      <c r="EID54" s="1165"/>
      <c r="EIE54" s="1165"/>
      <c r="EIF54" s="1165"/>
      <c r="EIG54" s="1165"/>
      <c r="EIH54" s="1165"/>
      <c r="EII54" s="1165"/>
      <c r="EIJ54" s="1165"/>
      <c r="EIK54" s="1165"/>
      <c r="EIL54" s="1165"/>
      <c r="EIM54" s="1165"/>
      <c r="EIN54" s="1165"/>
      <c r="EIO54" s="1165"/>
      <c r="EIP54" s="1165"/>
      <c r="EIQ54" s="1165"/>
      <c r="EIR54" s="1165"/>
      <c r="EIS54" s="1165"/>
      <c r="EIT54" s="1165"/>
      <c r="EIU54" s="1165"/>
      <c r="EIV54" s="1165"/>
      <c r="EIW54" s="1165"/>
      <c r="EIX54" s="1165"/>
      <c r="EIY54" s="1165"/>
      <c r="EIZ54" s="1165"/>
      <c r="EJA54" s="1165"/>
      <c r="EJB54" s="1165"/>
      <c r="EJC54" s="1165"/>
      <c r="EJD54" s="1165"/>
      <c r="EJE54" s="1165"/>
      <c r="EJF54" s="1165"/>
      <c r="EJG54" s="1165"/>
      <c r="EJH54" s="1165"/>
      <c r="EJI54" s="1165"/>
      <c r="EJJ54" s="1165"/>
      <c r="EJK54" s="1165"/>
      <c r="EJL54" s="1165"/>
      <c r="EJM54" s="1165"/>
      <c r="EJN54" s="1165"/>
      <c r="EJO54" s="1165"/>
      <c r="EJP54" s="1165"/>
      <c r="EJQ54" s="1165"/>
      <c r="EJR54" s="1165"/>
      <c r="EJS54" s="1165"/>
      <c r="EJT54" s="1165"/>
      <c r="EJU54" s="1165"/>
      <c r="EJV54" s="1165"/>
      <c r="EJW54" s="1165"/>
      <c r="EJX54" s="1165"/>
      <c r="EJY54" s="1165"/>
      <c r="EJZ54" s="1165"/>
      <c r="EKA54" s="1165"/>
      <c r="EKB54" s="1165"/>
      <c r="EKC54" s="1165"/>
      <c r="EKD54" s="1165"/>
      <c r="EKE54" s="1165"/>
      <c r="EKF54" s="1165"/>
      <c r="EKG54" s="1165"/>
      <c r="EKH54" s="1165"/>
      <c r="EKI54" s="1165"/>
      <c r="EKJ54" s="1165"/>
      <c r="EKK54" s="1165"/>
      <c r="EKL54" s="1165"/>
      <c r="EKM54" s="1165"/>
      <c r="EKN54" s="1165"/>
      <c r="EKO54" s="1165"/>
      <c r="EKP54" s="1165"/>
      <c r="EKQ54" s="1165"/>
      <c r="EKR54" s="1165"/>
      <c r="EKS54" s="1165"/>
      <c r="EKT54" s="1165"/>
      <c r="EKU54" s="1165"/>
      <c r="EKV54" s="1165"/>
      <c r="EKW54" s="1165"/>
      <c r="EKX54" s="1165"/>
      <c r="EKY54" s="1165"/>
      <c r="EKZ54" s="1165"/>
      <c r="ELA54" s="1165"/>
      <c r="ELB54" s="1165"/>
      <c r="ELC54" s="1165"/>
      <c r="ELD54" s="1165"/>
      <c r="ELE54" s="1165"/>
      <c r="ELF54" s="1165"/>
      <c r="ELG54" s="1165"/>
      <c r="ELH54" s="1165"/>
      <c r="ELI54" s="1165"/>
      <c r="ELJ54" s="1165"/>
      <c r="ELK54" s="1165"/>
      <c r="ELL54" s="1165"/>
      <c r="ELM54" s="1165"/>
      <c r="ELN54" s="1165"/>
      <c r="ELO54" s="1165"/>
      <c r="ELP54" s="1165"/>
      <c r="ELQ54" s="1165"/>
      <c r="ELR54" s="1165"/>
      <c r="ELS54" s="1165"/>
      <c r="ELT54" s="1165"/>
      <c r="ELU54" s="1165"/>
      <c r="ELV54" s="1165"/>
      <c r="ELW54" s="1165"/>
      <c r="ELX54" s="1165"/>
      <c r="ELY54" s="1165"/>
      <c r="ELZ54" s="1165"/>
      <c r="EMA54" s="1165"/>
      <c r="EMB54" s="1165"/>
      <c r="EMC54" s="1165"/>
      <c r="EMD54" s="1165"/>
      <c r="EME54" s="1165"/>
      <c r="EMF54" s="1165"/>
      <c r="EMG54" s="1165"/>
      <c r="EMH54" s="1165"/>
      <c r="EMI54" s="1165"/>
      <c r="EMJ54" s="1165"/>
      <c r="EMK54" s="1165"/>
      <c r="EML54" s="1165"/>
      <c r="EMM54" s="1165"/>
      <c r="EMN54" s="1165"/>
      <c r="EMO54" s="1165"/>
      <c r="EMP54" s="1165"/>
      <c r="EMQ54" s="1165"/>
      <c r="EMR54" s="1165"/>
      <c r="EMS54" s="1165"/>
      <c r="EMT54" s="1165"/>
      <c r="EMU54" s="1165"/>
      <c r="EMV54" s="1165"/>
      <c r="EMW54" s="1165"/>
      <c r="EMX54" s="1165"/>
      <c r="EMY54" s="1165"/>
      <c r="EMZ54" s="1165"/>
      <c r="ENA54" s="1165"/>
      <c r="ENB54" s="1165"/>
      <c r="ENC54" s="1165"/>
      <c r="END54" s="1165"/>
      <c r="ENE54" s="1165"/>
      <c r="ENF54" s="1165"/>
      <c r="ENG54" s="1165"/>
      <c r="ENH54" s="1165"/>
      <c r="ENI54" s="1165"/>
      <c r="ENJ54" s="1165"/>
      <c r="ENK54" s="1165"/>
      <c r="ENL54" s="1165"/>
      <c r="ENM54" s="1165"/>
      <c r="ENN54" s="1165"/>
      <c r="ENO54" s="1165"/>
      <c r="ENP54" s="1165"/>
      <c r="ENQ54" s="1165"/>
      <c r="ENR54" s="1165"/>
      <c r="ENS54" s="1165"/>
      <c r="ENT54" s="1165"/>
      <c r="ENU54" s="1165"/>
      <c r="ENV54" s="1165"/>
      <c r="ENW54" s="1165"/>
      <c r="ENX54" s="1165"/>
      <c r="ENY54" s="1165"/>
      <c r="ENZ54" s="1165"/>
      <c r="EOA54" s="1165"/>
      <c r="EOB54" s="1165"/>
      <c r="EOC54" s="1165"/>
      <c r="EOD54" s="1165"/>
      <c r="EOE54" s="1165"/>
      <c r="EOF54" s="1165"/>
      <c r="EOG54" s="1165"/>
      <c r="EOH54" s="1165"/>
      <c r="EOI54" s="1165"/>
      <c r="EOJ54" s="1165"/>
      <c r="EOK54" s="1165"/>
      <c r="EOL54" s="1165"/>
      <c r="EOM54" s="1165"/>
      <c r="EON54" s="1165"/>
      <c r="EOO54" s="1165"/>
      <c r="EOP54" s="1165"/>
      <c r="EOQ54" s="1165"/>
      <c r="EOR54" s="1165"/>
      <c r="EOS54" s="1165"/>
      <c r="EOT54" s="1165"/>
      <c r="EOU54" s="1165"/>
      <c r="EOV54" s="1165"/>
      <c r="EOW54" s="1165"/>
      <c r="EOX54" s="1165"/>
      <c r="EOY54" s="1165"/>
      <c r="EOZ54" s="1165"/>
      <c r="EPA54" s="1165"/>
      <c r="EPB54" s="1165"/>
      <c r="EPC54" s="1165"/>
      <c r="EPD54" s="1165"/>
      <c r="EPE54" s="1165"/>
      <c r="EPF54" s="1165"/>
      <c r="EPG54" s="1165"/>
      <c r="EPH54" s="1165"/>
      <c r="EPI54" s="1165"/>
      <c r="EPJ54" s="1165"/>
      <c r="EPK54" s="1165"/>
      <c r="EPL54" s="1165"/>
      <c r="EPM54" s="1165"/>
      <c r="EPN54" s="1165"/>
      <c r="EPO54" s="1165"/>
      <c r="EPP54" s="1165"/>
      <c r="EPQ54" s="1165"/>
      <c r="EPR54" s="1165"/>
      <c r="EPS54" s="1165"/>
      <c r="EPT54" s="1165"/>
      <c r="EPU54" s="1165"/>
      <c r="EPV54" s="1165"/>
      <c r="EPW54" s="1165"/>
      <c r="EPX54" s="1165"/>
      <c r="EPY54" s="1165"/>
      <c r="EPZ54" s="1165"/>
      <c r="EQA54" s="1165"/>
      <c r="EQB54" s="1165"/>
      <c r="EQC54" s="1165"/>
      <c r="EQD54" s="1165"/>
      <c r="EQE54" s="1165"/>
      <c r="EQF54" s="1165"/>
      <c r="EQG54" s="1165"/>
      <c r="EQH54" s="1165"/>
      <c r="EQI54" s="1165"/>
      <c r="EQJ54" s="1165"/>
      <c r="EQK54" s="1165"/>
      <c r="EQL54" s="1165"/>
      <c r="EQM54" s="1165"/>
      <c r="EQN54" s="1165"/>
      <c r="EQO54" s="1165"/>
      <c r="EQP54" s="1165"/>
      <c r="EQQ54" s="1165"/>
      <c r="EQR54" s="1165"/>
      <c r="EQS54" s="1165"/>
      <c r="EQT54" s="1165"/>
      <c r="EQU54" s="1165"/>
      <c r="EQV54" s="1165"/>
      <c r="EQW54" s="1165"/>
      <c r="EQX54" s="1165"/>
      <c r="EQY54" s="1165"/>
      <c r="EQZ54" s="1165"/>
      <c r="ERA54" s="1165"/>
      <c r="ERB54" s="1165"/>
      <c r="ERC54" s="1165"/>
      <c r="ERD54" s="1165"/>
      <c r="ERE54" s="1165"/>
      <c r="ERF54" s="1165"/>
      <c r="ERG54" s="1165"/>
      <c r="ERH54" s="1165"/>
      <c r="ERI54" s="1165"/>
      <c r="ERJ54" s="1165"/>
      <c r="ERK54" s="1165"/>
      <c r="ERL54" s="1165"/>
      <c r="ERM54" s="1165"/>
      <c r="ERN54" s="1165"/>
      <c r="ERO54" s="1165"/>
      <c r="ERP54" s="1165"/>
      <c r="ERQ54" s="1165"/>
      <c r="ERR54" s="1165"/>
      <c r="ERS54" s="1165"/>
      <c r="ERT54" s="1165"/>
      <c r="ERU54" s="1165"/>
      <c r="ERV54" s="1165"/>
      <c r="ERW54" s="1165"/>
      <c r="ERX54" s="1165"/>
      <c r="ERY54" s="1165"/>
      <c r="ERZ54" s="1165"/>
      <c r="ESA54" s="1165"/>
      <c r="ESB54" s="1165"/>
      <c r="ESC54" s="1165"/>
      <c r="ESD54" s="1165"/>
      <c r="ESE54" s="1165"/>
      <c r="ESF54" s="1165"/>
      <c r="ESG54" s="1165"/>
      <c r="ESH54" s="1165"/>
      <c r="ESI54" s="1165"/>
      <c r="ESJ54" s="1165"/>
      <c r="ESK54" s="1165"/>
      <c r="ESL54" s="1165"/>
      <c r="ESM54" s="1165"/>
      <c r="ESN54" s="1165"/>
      <c r="ESO54" s="1165"/>
      <c r="ESP54" s="1165"/>
      <c r="ESQ54" s="1165"/>
      <c r="ESR54" s="1165"/>
      <c r="ESS54" s="1165"/>
      <c r="EST54" s="1165"/>
      <c r="ESU54" s="1165"/>
      <c r="ESV54" s="1165"/>
      <c r="ESW54" s="1165"/>
      <c r="ESX54" s="1165"/>
      <c r="ESY54" s="1165"/>
      <c r="ESZ54" s="1165"/>
      <c r="ETA54" s="1165"/>
      <c r="ETB54" s="1165"/>
      <c r="ETC54" s="1165"/>
      <c r="ETD54" s="1165"/>
      <c r="ETE54" s="1165"/>
      <c r="ETF54" s="1165"/>
      <c r="ETG54" s="1165"/>
      <c r="ETH54" s="1165"/>
      <c r="ETI54" s="1165"/>
      <c r="ETJ54" s="1165"/>
      <c r="ETK54" s="1165"/>
      <c r="ETL54" s="1165"/>
      <c r="ETM54" s="1165"/>
      <c r="ETN54" s="1165"/>
      <c r="ETO54" s="1165"/>
      <c r="ETP54" s="1165"/>
      <c r="ETQ54" s="1165"/>
      <c r="ETR54" s="1165"/>
      <c r="ETS54" s="1165"/>
      <c r="ETT54" s="1165"/>
      <c r="ETU54" s="1165"/>
      <c r="ETV54" s="1165"/>
      <c r="ETW54" s="1165"/>
      <c r="ETX54" s="1165"/>
      <c r="ETY54" s="1165"/>
      <c r="ETZ54" s="1165"/>
      <c r="EUA54" s="1165"/>
      <c r="EUB54" s="1165"/>
      <c r="EUC54" s="1165"/>
      <c r="EUD54" s="1165"/>
      <c r="EUE54" s="1165"/>
      <c r="EUF54" s="1165"/>
      <c r="EUG54" s="1165"/>
      <c r="EUH54" s="1165"/>
      <c r="EUI54" s="1165"/>
      <c r="EUJ54" s="1165"/>
      <c r="EUK54" s="1165"/>
      <c r="EUL54" s="1165"/>
      <c r="EUM54" s="1165"/>
      <c r="EUN54" s="1165"/>
      <c r="EUO54" s="1165"/>
      <c r="EUP54" s="1165"/>
      <c r="EUQ54" s="1165"/>
      <c r="EUR54" s="1165"/>
      <c r="EUS54" s="1165"/>
      <c r="EUT54" s="1165"/>
      <c r="EUU54" s="1165"/>
      <c r="EUV54" s="1165"/>
      <c r="EUW54" s="1165"/>
      <c r="EUX54" s="1165"/>
      <c r="EUY54" s="1165"/>
      <c r="EUZ54" s="1165"/>
      <c r="EVA54" s="1165"/>
      <c r="EVB54" s="1165"/>
      <c r="EVC54" s="1165"/>
      <c r="EVD54" s="1165"/>
      <c r="EVE54" s="1165"/>
      <c r="EVF54" s="1165"/>
      <c r="EVG54" s="1165"/>
      <c r="EVH54" s="1165"/>
      <c r="EVI54" s="1165"/>
      <c r="EVJ54" s="1165"/>
      <c r="EVK54" s="1165"/>
      <c r="EVL54" s="1165"/>
      <c r="EVM54" s="1165"/>
      <c r="EVN54" s="1165"/>
      <c r="EVO54" s="1165"/>
      <c r="EVP54" s="1165"/>
      <c r="EVQ54" s="1165"/>
      <c r="EVR54" s="1165"/>
      <c r="EVS54" s="1165"/>
      <c r="EVT54" s="1165"/>
      <c r="EVU54" s="1165"/>
      <c r="EVV54" s="1165"/>
      <c r="EVW54" s="1165"/>
      <c r="EVX54" s="1165"/>
      <c r="EVY54" s="1165"/>
      <c r="EVZ54" s="1165"/>
      <c r="EWA54" s="1165"/>
      <c r="EWB54" s="1165"/>
      <c r="EWC54" s="1165"/>
      <c r="EWD54" s="1165"/>
      <c r="EWE54" s="1165"/>
      <c r="EWF54" s="1165"/>
      <c r="EWG54" s="1165"/>
      <c r="EWH54" s="1165"/>
      <c r="EWI54" s="1165"/>
      <c r="EWJ54" s="1165"/>
      <c r="EWK54" s="1165"/>
      <c r="EWL54" s="1165"/>
      <c r="EWM54" s="1165"/>
      <c r="EWN54" s="1165"/>
      <c r="EWO54" s="1165"/>
      <c r="EWP54" s="1165"/>
      <c r="EWQ54" s="1165"/>
      <c r="EWR54" s="1165"/>
      <c r="EWS54" s="1165"/>
      <c r="EWT54" s="1165"/>
      <c r="EWU54" s="1165"/>
      <c r="EWV54" s="1165"/>
      <c r="EWW54" s="1165"/>
      <c r="EWX54" s="1165"/>
      <c r="EWY54" s="1165"/>
      <c r="EWZ54" s="1165"/>
      <c r="EXA54" s="1165"/>
      <c r="EXB54" s="1165"/>
      <c r="EXC54" s="1165"/>
      <c r="EXD54" s="1165"/>
      <c r="EXE54" s="1165"/>
      <c r="EXF54" s="1165"/>
      <c r="EXG54" s="1165"/>
      <c r="EXH54" s="1165"/>
      <c r="EXI54" s="1165"/>
      <c r="EXJ54" s="1165"/>
      <c r="EXK54" s="1165"/>
      <c r="EXL54" s="1165"/>
      <c r="EXM54" s="1165"/>
      <c r="EXN54" s="1165"/>
      <c r="EXO54" s="1165"/>
      <c r="EXP54" s="1165"/>
      <c r="EXQ54" s="1165"/>
      <c r="EXR54" s="1165"/>
      <c r="EXS54" s="1165"/>
      <c r="EXT54" s="1165"/>
      <c r="EXU54" s="1165"/>
      <c r="EXV54" s="1165"/>
      <c r="EXW54" s="1165"/>
      <c r="EXX54" s="1165"/>
      <c r="EXY54" s="1165"/>
      <c r="EXZ54" s="1165"/>
      <c r="EYA54" s="1165"/>
      <c r="EYB54" s="1165"/>
      <c r="EYC54" s="1165"/>
      <c r="EYD54" s="1165"/>
      <c r="EYE54" s="1165"/>
      <c r="EYF54" s="1165"/>
      <c r="EYG54" s="1165"/>
      <c r="EYH54" s="1165"/>
      <c r="EYI54" s="1165"/>
      <c r="EYJ54" s="1165"/>
      <c r="EYK54" s="1165"/>
      <c r="EYL54" s="1165"/>
      <c r="EYM54" s="1165"/>
      <c r="EYN54" s="1165"/>
      <c r="EYO54" s="1165"/>
      <c r="EYP54" s="1165"/>
      <c r="EYQ54" s="1165"/>
      <c r="EYR54" s="1165"/>
      <c r="EYS54" s="1165"/>
      <c r="EYT54" s="1165"/>
      <c r="EYU54" s="1165"/>
      <c r="EYV54" s="1165"/>
      <c r="EYW54" s="1165"/>
      <c r="EYX54" s="1165"/>
      <c r="EYY54" s="1165"/>
      <c r="EYZ54" s="1165"/>
      <c r="EZA54" s="1165"/>
      <c r="EZB54" s="1165"/>
      <c r="EZC54" s="1165"/>
      <c r="EZD54" s="1165"/>
      <c r="EZE54" s="1165"/>
      <c r="EZF54" s="1165"/>
      <c r="EZG54" s="1165"/>
      <c r="EZH54" s="1165"/>
      <c r="EZI54" s="1165"/>
      <c r="EZJ54" s="1165"/>
      <c r="EZK54" s="1165"/>
      <c r="EZL54" s="1165"/>
      <c r="EZM54" s="1165"/>
      <c r="EZN54" s="1165"/>
      <c r="EZO54" s="1165"/>
      <c r="EZP54" s="1165"/>
      <c r="EZQ54" s="1165"/>
      <c r="EZR54" s="1165"/>
      <c r="EZS54" s="1165"/>
      <c r="EZT54" s="1165"/>
      <c r="EZU54" s="1165"/>
      <c r="EZV54" s="1165"/>
      <c r="EZW54" s="1165"/>
      <c r="EZX54" s="1165"/>
      <c r="EZY54" s="1165"/>
      <c r="EZZ54" s="1165"/>
      <c r="FAA54" s="1165"/>
      <c r="FAB54" s="1165"/>
      <c r="FAC54" s="1165"/>
      <c r="FAD54" s="1165"/>
      <c r="FAE54" s="1165"/>
      <c r="FAF54" s="1165"/>
      <c r="FAG54" s="1165"/>
      <c r="FAH54" s="1165"/>
      <c r="FAI54" s="1165"/>
      <c r="FAJ54" s="1165"/>
      <c r="FAK54" s="1165"/>
      <c r="FAL54" s="1165"/>
      <c r="FAM54" s="1165"/>
      <c r="FAN54" s="1165"/>
      <c r="FAO54" s="1165"/>
      <c r="FAP54" s="1165"/>
      <c r="FAQ54" s="1165"/>
      <c r="FAR54" s="1165"/>
      <c r="FAS54" s="1165"/>
      <c r="FAT54" s="1165"/>
      <c r="FAU54" s="1165"/>
      <c r="FAV54" s="1165"/>
      <c r="FAW54" s="1165"/>
      <c r="FAX54" s="1165"/>
      <c r="FAY54" s="1165"/>
      <c r="FAZ54" s="1165"/>
      <c r="FBA54" s="1165"/>
      <c r="FBB54" s="1165"/>
      <c r="FBC54" s="1165"/>
      <c r="FBD54" s="1165"/>
      <c r="FBE54" s="1165"/>
      <c r="FBF54" s="1165"/>
      <c r="FBG54" s="1165"/>
      <c r="FBH54" s="1165"/>
      <c r="FBI54" s="1165"/>
      <c r="FBJ54" s="1165"/>
      <c r="FBK54" s="1165"/>
      <c r="FBL54" s="1165"/>
      <c r="FBM54" s="1165"/>
      <c r="FBN54" s="1165"/>
      <c r="FBO54" s="1165"/>
      <c r="FBP54" s="1165"/>
      <c r="FBQ54" s="1165"/>
      <c r="FBR54" s="1165"/>
      <c r="FBS54" s="1165"/>
      <c r="FBT54" s="1165"/>
      <c r="FBU54" s="1165"/>
      <c r="FBV54" s="1165"/>
      <c r="FBW54" s="1165"/>
      <c r="FBX54" s="1165"/>
      <c r="FBY54" s="1165"/>
      <c r="FBZ54" s="1165"/>
      <c r="FCA54" s="1165"/>
      <c r="FCB54" s="1165"/>
      <c r="FCC54" s="1165"/>
      <c r="FCD54" s="1165"/>
      <c r="FCE54" s="1165"/>
      <c r="FCF54" s="1165"/>
      <c r="FCG54" s="1165"/>
      <c r="FCH54" s="1165"/>
      <c r="FCI54" s="1165"/>
      <c r="FCJ54" s="1165"/>
      <c r="FCK54" s="1165"/>
      <c r="FCL54" s="1165"/>
      <c r="FCM54" s="1165"/>
      <c r="FCN54" s="1165"/>
      <c r="FCO54" s="1165"/>
      <c r="FCP54" s="1165"/>
      <c r="FCQ54" s="1165"/>
      <c r="FCR54" s="1165"/>
      <c r="FCS54" s="1165"/>
      <c r="FCT54" s="1165"/>
      <c r="FCU54" s="1165"/>
      <c r="FCV54" s="1165"/>
      <c r="FCW54" s="1165"/>
      <c r="FCX54" s="1165"/>
      <c r="FCY54" s="1165"/>
      <c r="FCZ54" s="1165"/>
      <c r="FDA54" s="1165"/>
      <c r="FDB54" s="1165"/>
      <c r="FDC54" s="1165"/>
      <c r="FDD54" s="1165"/>
      <c r="FDE54" s="1165"/>
      <c r="FDF54" s="1165"/>
      <c r="FDG54" s="1165"/>
      <c r="FDH54" s="1165"/>
      <c r="FDI54" s="1165"/>
      <c r="FDJ54" s="1165"/>
      <c r="FDK54" s="1165"/>
      <c r="FDL54" s="1165"/>
      <c r="FDM54" s="1165"/>
      <c r="FDN54" s="1165"/>
      <c r="FDO54" s="1165"/>
      <c r="FDP54" s="1165"/>
      <c r="FDQ54" s="1165"/>
      <c r="FDR54" s="1165"/>
      <c r="FDS54" s="1165"/>
      <c r="FDT54" s="1165"/>
      <c r="FDU54" s="1165"/>
      <c r="FDV54" s="1165"/>
      <c r="FDW54" s="1165"/>
      <c r="FDX54" s="1165"/>
      <c r="FDY54" s="1165"/>
      <c r="FDZ54" s="1165"/>
      <c r="FEA54" s="1165"/>
      <c r="FEB54" s="1165"/>
      <c r="FEC54" s="1165"/>
      <c r="FED54" s="1165"/>
      <c r="FEE54" s="1165"/>
      <c r="FEF54" s="1165"/>
      <c r="FEG54" s="1165"/>
      <c r="FEH54" s="1165"/>
      <c r="FEI54" s="1165"/>
      <c r="FEJ54" s="1165"/>
      <c r="FEK54" s="1165"/>
      <c r="FEL54" s="1165"/>
      <c r="FEM54" s="1165"/>
      <c r="FEN54" s="1165"/>
      <c r="FEO54" s="1165"/>
      <c r="FEP54" s="1165"/>
      <c r="FEQ54" s="1165"/>
      <c r="FER54" s="1165"/>
      <c r="FES54" s="1165"/>
      <c r="FET54" s="1165"/>
      <c r="FEU54" s="1165"/>
      <c r="FEV54" s="1165"/>
      <c r="FEW54" s="1165"/>
      <c r="FEX54" s="1165"/>
      <c r="FEY54" s="1165"/>
      <c r="FEZ54" s="1165"/>
      <c r="FFA54" s="1165"/>
      <c r="FFB54" s="1165"/>
      <c r="FFC54" s="1165"/>
      <c r="FFD54" s="1165"/>
      <c r="FFE54" s="1165"/>
      <c r="FFF54" s="1165"/>
      <c r="FFG54" s="1165"/>
      <c r="FFH54" s="1165"/>
      <c r="FFI54" s="1165"/>
      <c r="FFJ54" s="1165"/>
      <c r="FFK54" s="1165"/>
      <c r="FFL54" s="1165"/>
      <c r="FFM54" s="1165"/>
      <c r="FFN54" s="1165"/>
      <c r="FFO54" s="1165"/>
      <c r="FFP54" s="1165"/>
      <c r="FFQ54" s="1165"/>
      <c r="FFR54" s="1165"/>
      <c r="FFS54" s="1165"/>
      <c r="FFT54" s="1165"/>
      <c r="FFU54" s="1165"/>
      <c r="FFV54" s="1165"/>
      <c r="FFW54" s="1165"/>
      <c r="FFX54" s="1165"/>
      <c r="FFY54" s="1165"/>
      <c r="FFZ54" s="1165"/>
      <c r="FGA54" s="1165"/>
      <c r="FGB54" s="1165"/>
      <c r="FGC54" s="1165"/>
      <c r="FGD54" s="1165"/>
      <c r="FGE54" s="1165"/>
      <c r="FGF54" s="1165"/>
      <c r="FGG54" s="1165"/>
      <c r="FGH54" s="1165"/>
      <c r="FGI54" s="1165"/>
      <c r="FGJ54" s="1165"/>
      <c r="FGK54" s="1165"/>
      <c r="FGL54" s="1165"/>
      <c r="FGM54" s="1165"/>
      <c r="FGN54" s="1165"/>
      <c r="FGO54" s="1165"/>
      <c r="FGP54" s="1165"/>
      <c r="FGQ54" s="1165"/>
      <c r="FGR54" s="1165"/>
      <c r="FGS54" s="1165"/>
      <c r="FGT54" s="1165"/>
      <c r="FGU54" s="1165"/>
      <c r="FGV54" s="1165"/>
      <c r="FGW54" s="1165"/>
      <c r="FGX54" s="1165"/>
      <c r="FGY54" s="1165"/>
      <c r="FGZ54" s="1165"/>
      <c r="FHA54" s="1165"/>
      <c r="FHB54" s="1165"/>
      <c r="FHC54" s="1165"/>
      <c r="FHD54" s="1165"/>
      <c r="FHE54" s="1165"/>
      <c r="FHF54" s="1165"/>
      <c r="FHG54" s="1165"/>
      <c r="FHH54" s="1165"/>
      <c r="FHI54" s="1165"/>
      <c r="FHJ54" s="1165"/>
      <c r="FHK54" s="1165"/>
      <c r="FHL54" s="1165"/>
      <c r="FHM54" s="1165"/>
      <c r="FHN54" s="1165"/>
      <c r="FHO54" s="1165"/>
      <c r="FHP54" s="1165"/>
      <c r="FHQ54" s="1165"/>
      <c r="FHR54" s="1165"/>
      <c r="FHS54" s="1165"/>
      <c r="FHT54" s="1165"/>
      <c r="FHU54" s="1165"/>
      <c r="FHV54" s="1165"/>
      <c r="FHW54" s="1165"/>
      <c r="FHX54" s="1165"/>
      <c r="FHY54" s="1165"/>
      <c r="FHZ54" s="1165"/>
      <c r="FIA54" s="1165"/>
      <c r="FIB54" s="1165"/>
      <c r="FIC54" s="1165"/>
      <c r="FID54" s="1165"/>
      <c r="FIE54" s="1165"/>
      <c r="FIF54" s="1165"/>
      <c r="FIG54" s="1165"/>
      <c r="FIH54" s="1165"/>
      <c r="FII54" s="1165"/>
      <c r="FIJ54" s="1165"/>
      <c r="FIK54" s="1165"/>
      <c r="FIL54" s="1165"/>
      <c r="FIM54" s="1165"/>
      <c r="FIN54" s="1165"/>
      <c r="FIO54" s="1165"/>
      <c r="FIP54" s="1165"/>
      <c r="FIQ54" s="1165"/>
      <c r="FIR54" s="1165"/>
      <c r="FIS54" s="1165"/>
      <c r="FIT54" s="1165"/>
      <c r="FIU54" s="1165"/>
      <c r="FIV54" s="1165"/>
      <c r="FIW54" s="1165"/>
      <c r="FIX54" s="1165"/>
      <c r="FIY54" s="1165"/>
      <c r="FIZ54" s="1165"/>
      <c r="FJA54" s="1165"/>
      <c r="FJB54" s="1165"/>
      <c r="FJC54" s="1165"/>
      <c r="FJD54" s="1165"/>
      <c r="FJE54" s="1165"/>
      <c r="FJF54" s="1165"/>
      <c r="FJG54" s="1165"/>
      <c r="FJH54" s="1165"/>
      <c r="FJI54" s="1165"/>
      <c r="FJJ54" s="1165"/>
      <c r="FJK54" s="1165"/>
      <c r="FJL54" s="1165"/>
      <c r="FJM54" s="1165"/>
      <c r="FJN54" s="1165"/>
      <c r="FJO54" s="1165"/>
      <c r="FJP54" s="1165"/>
      <c r="FJQ54" s="1165"/>
      <c r="FJR54" s="1165"/>
      <c r="FJS54" s="1165"/>
      <c r="FJT54" s="1165"/>
      <c r="FJU54" s="1165"/>
      <c r="FJV54" s="1165"/>
      <c r="FJW54" s="1165"/>
      <c r="FJX54" s="1165"/>
      <c r="FJY54" s="1165"/>
      <c r="FJZ54" s="1165"/>
      <c r="FKA54" s="1165"/>
      <c r="FKB54" s="1165"/>
      <c r="FKC54" s="1165"/>
      <c r="FKD54" s="1165"/>
      <c r="FKE54" s="1165"/>
      <c r="FKF54" s="1165"/>
      <c r="FKG54" s="1165"/>
      <c r="FKH54" s="1165"/>
      <c r="FKI54" s="1165"/>
      <c r="FKJ54" s="1165"/>
      <c r="FKK54" s="1165"/>
      <c r="FKL54" s="1165"/>
      <c r="FKM54" s="1165"/>
      <c r="FKN54" s="1165"/>
      <c r="FKO54" s="1165"/>
      <c r="FKP54" s="1165"/>
      <c r="FKQ54" s="1165"/>
      <c r="FKR54" s="1165"/>
      <c r="FKS54" s="1165"/>
      <c r="FKT54" s="1165"/>
      <c r="FKU54" s="1165"/>
      <c r="FKV54" s="1165"/>
      <c r="FKW54" s="1165"/>
      <c r="FKX54" s="1165"/>
      <c r="FKY54" s="1165"/>
      <c r="FKZ54" s="1165"/>
      <c r="FLA54" s="1165"/>
      <c r="FLB54" s="1165"/>
      <c r="FLC54" s="1165"/>
      <c r="FLD54" s="1165"/>
      <c r="FLE54" s="1165"/>
      <c r="FLF54" s="1165"/>
      <c r="FLG54" s="1165"/>
      <c r="FLH54" s="1165"/>
      <c r="FLI54" s="1165"/>
      <c r="FLJ54" s="1165"/>
      <c r="FLK54" s="1165"/>
      <c r="FLL54" s="1165"/>
      <c r="FLM54" s="1165"/>
      <c r="FLN54" s="1165"/>
      <c r="FLO54" s="1165"/>
      <c r="FLP54" s="1165"/>
      <c r="FLQ54" s="1165"/>
      <c r="FLR54" s="1165"/>
      <c r="FLS54" s="1165"/>
      <c r="FLT54" s="1165"/>
      <c r="FLU54" s="1165"/>
      <c r="FLV54" s="1165"/>
      <c r="FLW54" s="1165"/>
      <c r="FLX54" s="1165"/>
      <c r="FLY54" s="1165"/>
      <c r="FLZ54" s="1165"/>
      <c r="FMA54" s="1165"/>
      <c r="FMB54" s="1165"/>
      <c r="FMC54" s="1165"/>
      <c r="FMD54" s="1165"/>
      <c r="FME54" s="1165"/>
      <c r="FMF54" s="1165"/>
      <c r="FMG54" s="1165"/>
      <c r="FMH54" s="1165"/>
      <c r="FMI54" s="1165"/>
      <c r="FMJ54" s="1165"/>
      <c r="FMK54" s="1165"/>
      <c r="FML54" s="1165"/>
      <c r="FMM54" s="1165"/>
      <c r="FMN54" s="1165"/>
      <c r="FMO54" s="1165"/>
      <c r="FMP54" s="1165"/>
      <c r="FMQ54" s="1165"/>
      <c r="FMR54" s="1165"/>
      <c r="FMS54" s="1165"/>
      <c r="FMT54" s="1165"/>
      <c r="FMU54" s="1165"/>
      <c r="FMV54" s="1165"/>
      <c r="FMW54" s="1165"/>
      <c r="FMX54" s="1165"/>
      <c r="FMY54" s="1165"/>
      <c r="FMZ54" s="1165"/>
      <c r="FNA54" s="1165"/>
      <c r="FNB54" s="1165"/>
      <c r="FNC54" s="1165"/>
      <c r="FND54" s="1165"/>
      <c r="FNE54" s="1165"/>
      <c r="FNF54" s="1165"/>
      <c r="FNG54" s="1165"/>
      <c r="FNH54" s="1165"/>
      <c r="FNI54" s="1165"/>
      <c r="FNJ54" s="1165"/>
      <c r="FNK54" s="1165"/>
      <c r="FNL54" s="1165"/>
      <c r="FNM54" s="1165"/>
      <c r="FNN54" s="1165"/>
      <c r="FNO54" s="1165"/>
      <c r="FNP54" s="1165"/>
      <c r="FNQ54" s="1165"/>
      <c r="FNR54" s="1165"/>
      <c r="FNS54" s="1165"/>
      <c r="FNT54" s="1165"/>
      <c r="FNU54" s="1165"/>
      <c r="FNV54" s="1165"/>
      <c r="FNW54" s="1165"/>
      <c r="FNX54" s="1165"/>
      <c r="FNY54" s="1165"/>
      <c r="FNZ54" s="1165"/>
      <c r="FOA54" s="1165"/>
      <c r="FOB54" s="1165"/>
      <c r="FOC54" s="1165"/>
      <c r="FOD54" s="1165"/>
      <c r="FOE54" s="1165"/>
      <c r="FOF54" s="1165"/>
      <c r="FOG54" s="1165"/>
      <c r="FOH54" s="1165"/>
      <c r="FOI54" s="1165"/>
      <c r="FOJ54" s="1165"/>
      <c r="FOK54" s="1165"/>
      <c r="FOL54" s="1165"/>
      <c r="FOM54" s="1165"/>
      <c r="FON54" s="1165"/>
      <c r="FOO54" s="1165"/>
      <c r="FOP54" s="1165"/>
      <c r="FOQ54" s="1165"/>
      <c r="FOR54" s="1165"/>
      <c r="FOS54" s="1165"/>
      <c r="FOT54" s="1165"/>
      <c r="FOU54" s="1165"/>
      <c r="FOV54" s="1165"/>
      <c r="FOW54" s="1165"/>
      <c r="FOX54" s="1165"/>
      <c r="FOY54" s="1165"/>
      <c r="FOZ54" s="1165"/>
      <c r="FPA54" s="1165"/>
      <c r="FPB54" s="1165"/>
      <c r="FPC54" s="1165"/>
      <c r="FPD54" s="1165"/>
      <c r="FPE54" s="1165"/>
      <c r="FPF54" s="1165"/>
      <c r="FPG54" s="1165"/>
      <c r="FPH54" s="1165"/>
      <c r="FPI54" s="1165"/>
      <c r="FPJ54" s="1165"/>
      <c r="FPK54" s="1165"/>
      <c r="FPL54" s="1165"/>
      <c r="FPM54" s="1165"/>
      <c r="FPN54" s="1165"/>
      <c r="FPO54" s="1165"/>
      <c r="FPP54" s="1165"/>
      <c r="FPQ54" s="1165"/>
      <c r="FPR54" s="1165"/>
      <c r="FPS54" s="1165"/>
      <c r="FPT54" s="1165"/>
      <c r="FPU54" s="1165"/>
      <c r="FPV54" s="1165"/>
      <c r="FPW54" s="1165"/>
      <c r="FPX54" s="1165"/>
      <c r="FPY54" s="1165"/>
      <c r="FPZ54" s="1165"/>
      <c r="FQA54" s="1165"/>
      <c r="FQB54" s="1165"/>
      <c r="FQC54" s="1165"/>
      <c r="FQD54" s="1165"/>
      <c r="FQE54" s="1165"/>
      <c r="FQF54" s="1165"/>
      <c r="FQG54" s="1165"/>
      <c r="FQH54" s="1165"/>
      <c r="FQI54" s="1165"/>
      <c r="FQJ54" s="1165"/>
      <c r="FQK54" s="1165"/>
      <c r="FQL54" s="1165"/>
      <c r="FQM54" s="1165"/>
      <c r="FQN54" s="1165"/>
      <c r="FQO54" s="1165"/>
      <c r="FQP54" s="1165"/>
      <c r="FQQ54" s="1165"/>
      <c r="FQR54" s="1165"/>
      <c r="FQS54" s="1165"/>
      <c r="FQT54" s="1165"/>
      <c r="FQU54" s="1165"/>
      <c r="FQV54" s="1165"/>
      <c r="FQW54" s="1165"/>
      <c r="FQX54" s="1165"/>
      <c r="FQY54" s="1165"/>
      <c r="FQZ54" s="1165"/>
      <c r="FRA54" s="1165"/>
      <c r="FRB54" s="1165"/>
      <c r="FRC54" s="1165"/>
      <c r="FRD54" s="1165"/>
      <c r="FRE54" s="1165"/>
      <c r="FRF54" s="1165"/>
      <c r="FRG54" s="1165"/>
      <c r="FRH54" s="1165"/>
      <c r="FRI54" s="1165"/>
      <c r="FRJ54" s="1165"/>
      <c r="FRK54" s="1165"/>
      <c r="FRL54" s="1165"/>
      <c r="FRM54" s="1165"/>
      <c r="FRN54" s="1165"/>
      <c r="FRO54" s="1165"/>
      <c r="FRP54" s="1165"/>
      <c r="FRQ54" s="1165"/>
      <c r="FRR54" s="1165"/>
      <c r="FRS54" s="1165"/>
      <c r="FRT54" s="1165"/>
      <c r="FRU54" s="1165"/>
      <c r="FRV54" s="1165"/>
      <c r="FRW54" s="1165"/>
      <c r="FRX54" s="1165"/>
      <c r="FRY54" s="1165"/>
      <c r="FRZ54" s="1165"/>
      <c r="FSA54" s="1165"/>
      <c r="FSB54" s="1165"/>
      <c r="FSC54" s="1165"/>
      <c r="FSD54" s="1165"/>
      <c r="FSE54" s="1165"/>
      <c r="FSF54" s="1165"/>
      <c r="FSG54" s="1165"/>
      <c r="FSH54" s="1165"/>
      <c r="FSI54" s="1165"/>
      <c r="FSJ54" s="1165"/>
      <c r="FSK54" s="1165"/>
      <c r="FSL54" s="1165"/>
      <c r="FSM54" s="1165"/>
      <c r="FSN54" s="1165"/>
      <c r="FSO54" s="1165"/>
      <c r="FSP54" s="1165"/>
      <c r="FSQ54" s="1165"/>
      <c r="FSR54" s="1165"/>
      <c r="FSS54" s="1165"/>
      <c r="FST54" s="1165"/>
      <c r="FSU54" s="1165"/>
      <c r="FSV54" s="1165"/>
      <c r="FSW54" s="1165"/>
      <c r="FSX54" s="1165"/>
      <c r="FSY54" s="1165"/>
      <c r="FSZ54" s="1165"/>
      <c r="FTA54" s="1165"/>
      <c r="FTB54" s="1165"/>
      <c r="FTC54" s="1165"/>
      <c r="FTD54" s="1165"/>
      <c r="FTE54" s="1165"/>
      <c r="FTF54" s="1165"/>
      <c r="FTG54" s="1165"/>
      <c r="FTH54" s="1165"/>
      <c r="FTI54" s="1165"/>
      <c r="FTJ54" s="1165"/>
      <c r="FTK54" s="1165"/>
      <c r="FTL54" s="1165"/>
      <c r="FTM54" s="1165"/>
      <c r="FTN54" s="1165"/>
      <c r="FTO54" s="1165"/>
      <c r="FTP54" s="1165"/>
      <c r="FTQ54" s="1165"/>
      <c r="FTR54" s="1165"/>
      <c r="FTS54" s="1165"/>
      <c r="FTT54" s="1165"/>
      <c r="FTU54" s="1165"/>
      <c r="FTV54" s="1165"/>
      <c r="FTW54" s="1165"/>
      <c r="FTX54" s="1165"/>
      <c r="FTY54" s="1165"/>
      <c r="FTZ54" s="1165"/>
      <c r="FUA54" s="1165"/>
      <c r="FUB54" s="1165"/>
      <c r="FUC54" s="1165"/>
      <c r="FUD54" s="1165"/>
      <c r="FUE54" s="1165"/>
      <c r="FUF54" s="1165"/>
      <c r="FUG54" s="1165"/>
      <c r="FUH54" s="1165"/>
      <c r="FUI54" s="1165"/>
      <c r="FUJ54" s="1165"/>
      <c r="FUK54" s="1165"/>
      <c r="FUL54" s="1165"/>
      <c r="FUM54" s="1165"/>
      <c r="FUN54" s="1165"/>
      <c r="FUO54" s="1165"/>
      <c r="FUP54" s="1165"/>
      <c r="FUQ54" s="1165"/>
      <c r="FUR54" s="1165"/>
      <c r="FUS54" s="1165"/>
      <c r="FUT54" s="1165"/>
      <c r="FUU54" s="1165"/>
      <c r="FUV54" s="1165"/>
      <c r="FUW54" s="1165"/>
      <c r="FUX54" s="1165"/>
      <c r="FUY54" s="1165"/>
      <c r="FUZ54" s="1165"/>
      <c r="FVA54" s="1165"/>
      <c r="FVB54" s="1165"/>
      <c r="FVC54" s="1165"/>
      <c r="FVD54" s="1165"/>
      <c r="FVE54" s="1165"/>
      <c r="FVF54" s="1165"/>
      <c r="FVG54" s="1165"/>
      <c r="FVH54" s="1165"/>
      <c r="FVI54" s="1165"/>
      <c r="FVJ54" s="1165"/>
      <c r="FVK54" s="1165"/>
      <c r="FVL54" s="1165"/>
      <c r="FVM54" s="1165"/>
      <c r="FVN54" s="1165"/>
      <c r="FVO54" s="1165"/>
      <c r="FVP54" s="1165"/>
      <c r="FVQ54" s="1165"/>
      <c r="FVR54" s="1165"/>
      <c r="FVS54" s="1165"/>
      <c r="FVT54" s="1165"/>
      <c r="FVU54" s="1165"/>
      <c r="FVV54" s="1165"/>
      <c r="FVW54" s="1165"/>
      <c r="FVX54" s="1165"/>
      <c r="FVY54" s="1165"/>
      <c r="FVZ54" s="1165"/>
      <c r="FWA54" s="1165"/>
      <c r="FWB54" s="1165"/>
      <c r="FWC54" s="1165"/>
      <c r="FWD54" s="1165"/>
      <c r="FWE54" s="1165"/>
      <c r="FWF54" s="1165"/>
      <c r="FWG54" s="1165"/>
      <c r="FWH54" s="1165"/>
      <c r="FWI54" s="1165"/>
      <c r="FWJ54" s="1165"/>
      <c r="FWK54" s="1165"/>
      <c r="FWL54" s="1165"/>
      <c r="FWM54" s="1165"/>
      <c r="FWN54" s="1165"/>
      <c r="FWO54" s="1165"/>
      <c r="FWP54" s="1165"/>
      <c r="FWQ54" s="1165"/>
      <c r="FWR54" s="1165"/>
      <c r="FWS54" s="1165"/>
      <c r="FWT54" s="1165"/>
      <c r="FWU54" s="1165"/>
      <c r="FWV54" s="1165"/>
      <c r="FWW54" s="1165"/>
      <c r="FWX54" s="1165"/>
      <c r="FWY54" s="1165"/>
      <c r="FWZ54" s="1165"/>
      <c r="FXA54" s="1165"/>
      <c r="FXB54" s="1165"/>
      <c r="FXC54" s="1165"/>
      <c r="FXD54" s="1165"/>
      <c r="FXE54" s="1165"/>
      <c r="FXF54" s="1165"/>
      <c r="FXG54" s="1165"/>
      <c r="FXH54" s="1165"/>
      <c r="FXI54" s="1165"/>
      <c r="FXJ54" s="1165"/>
      <c r="FXK54" s="1165"/>
      <c r="FXL54" s="1165"/>
      <c r="FXM54" s="1165"/>
      <c r="FXN54" s="1165"/>
      <c r="FXO54" s="1165"/>
      <c r="FXP54" s="1165"/>
      <c r="FXQ54" s="1165"/>
      <c r="FXR54" s="1165"/>
      <c r="FXS54" s="1165"/>
      <c r="FXT54" s="1165"/>
      <c r="FXU54" s="1165"/>
      <c r="FXV54" s="1165"/>
      <c r="FXW54" s="1165"/>
      <c r="FXX54" s="1165"/>
      <c r="FXY54" s="1165"/>
      <c r="FXZ54" s="1165"/>
      <c r="FYA54" s="1165"/>
      <c r="FYB54" s="1165"/>
      <c r="FYC54" s="1165"/>
      <c r="FYD54" s="1165"/>
      <c r="FYE54" s="1165"/>
      <c r="FYF54" s="1165"/>
      <c r="FYG54" s="1165"/>
      <c r="FYH54" s="1165"/>
      <c r="FYI54" s="1165"/>
      <c r="FYJ54" s="1165"/>
      <c r="FYK54" s="1165"/>
      <c r="FYL54" s="1165"/>
      <c r="FYM54" s="1165"/>
      <c r="FYN54" s="1165"/>
      <c r="FYO54" s="1165"/>
      <c r="FYP54" s="1165"/>
      <c r="FYQ54" s="1165"/>
      <c r="FYR54" s="1165"/>
      <c r="FYS54" s="1165"/>
      <c r="FYT54" s="1165"/>
      <c r="FYU54" s="1165"/>
      <c r="FYV54" s="1165"/>
      <c r="FYW54" s="1165"/>
      <c r="FYX54" s="1165"/>
      <c r="FYY54" s="1165"/>
      <c r="FYZ54" s="1165"/>
      <c r="FZA54" s="1165"/>
      <c r="FZB54" s="1165"/>
      <c r="FZC54" s="1165"/>
      <c r="FZD54" s="1165"/>
      <c r="FZE54" s="1165"/>
      <c r="FZF54" s="1165"/>
      <c r="FZG54" s="1165"/>
      <c r="FZH54" s="1165"/>
      <c r="FZI54" s="1165"/>
      <c r="FZJ54" s="1165"/>
      <c r="FZK54" s="1165"/>
      <c r="FZL54" s="1165"/>
      <c r="FZM54" s="1165"/>
      <c r="FZN54" s="1165"/>
      <c r="FZO54" s="1165"/>
      <c r="FZP54" s="1165"/>
      <c r="FZQ54" s="1165"/>
      <c r="FZR54" s="1165"/>
      <c r="FZS54" s="1165"/>
      <c r="FZT54" s="1165"/>
      <c r="FZU54" s="1165"/>
      <c r="FZV54" s="1165"/>
      <c r="FZW54" s="1165"/>
      <c r="FZX54" s="1165"/>
      <c r="FZY54" s="1165"/>
      <c r="FZZ54" s="1165"/>
      <c r="GAA54" s="1165"/>
      <c r="GAB54" s="1165"/>
      <c r="GAC54" s="1165"/>
      <c r="GAD54" s="1165"/>
      <c r="GAE54" s="1165"/>
      <c r="GAF54" s="1165"/>
      <c r="GAG54" s="1165"/>
      <c r="GAH54" s="1165"/>
      <c r="GAI54" s="1165"/>
      <c r="GAJ54" s="1165"/>
      <c r="GAK54" s="1165"/>
      <c r="GAL54" s="1165"/>
      <c r="GAM54" s="1165"/>
      <c r="GAN54" s="1165"/>
      <c r="GAO54" s="1165"/>
      <c r="GAP54" s="1165"/>
      <c r="GAQ54" s="1165"/>
      <c r="GAR54" s="1165"/>
      <c r="GAS54" s="1165"/>
      <c r="GAT54" s="1165"/>
      <c r="GAU54" s="1165"/>
      <c r="GAV54" s="1165"/>
      <c r="GAW54" s="1165"/>
      <c r="GAX54" s="1165"/>
      <c r="GAY54" s="1165"/>
      <c r="GAZ54" s="1165"/>
      <c r="GBA54" s="1165"/>
      <c r="GBB54" s="1165"/>
      <c r="GBC54" s="1165"/>
      <c r="GBD54" s="1165"/>
      <c r="GBE54" s="1165"/>
      <c r="GBF54" s="1165"/>
      <c r="GBG54" s="1165"/>
      <c r="GBH54" s="1165"/>
      <c r="GBI54" s="1165"/>
      <c r="GBJ54" s="1165"/>
      <c r="GBK54" s="1165"/>
      <c r="GBL54" s="1165"/>
      <c r="GBM54" s="1165"/>
      <c r="GBN54" s="1165"/>
      <c r="GBO54" s="1165"/>
      <c r="GBP54" s="1165"/>
      <c r="GBQ54" s="1165"/>
      <c r="GBR54" s="1165"/>
      <c r="GBS54" s="1165"/>
      <c r="GBT54" s="1165"/>
      <c r="GBU54" s="1165"/>
      <c r="GBV54" s="1165"/>
      <c r="GBW54" s="1165"/>
      <c r="GBX54" s="1165"/>
      <c r="GBY54" s="1165"/>
      <c r="GBZ54" s="1165"/>
      <c r="GCA54" s="1165"/>
      <c r="GCB54" s="1165"/>
      <c r="GCC54" s="1165"/>
      <c r="GCD54" s="1165"/>
      <c r="GCE54" s="1165"/>
      <c r="GCF54" s="1165"/>
      <c r="GCG54" s="1165"/>
      <c r="GCH54" s="1165"/>
      <c r="GCI54" s="1165"/>
      <c r="GCJ54" s="1165"/>
      <c r="GCK54" s="1165"/>
      <c r="GCL54" s="1165"/>
      <c r="GCM54" s="1165"/>
      <c r="GCN54" s="1165"/>
      <c r="GCO54" s="1165"/>
      <c r="GCP54" s="1165"/>
      <c r="GCQ54" s="1165"/>
      <c r="GCR54" s="1165"/>
      <c r="GCS54" s="1165"/>
      <c r="GCT54" s="1165"/>
      <c r="GCU54" s="1165"/>
      <c r="GCV54" s="1165"/>
      <c r="GCW54" s="1165"/>
      <c r="GCX54" s="1165"/>
      <c r="GCY54" s="1165"/>
      <c r="GCZ54" s="1165"/>
      <c r="GDA54" s="1165"/>
      <c r="GDB54" s="1165"/>
      <c r="GDC54" s="1165"/>
      <c r="GDD54" s="1165"/>
      <c r="GDE54" s="1165"/>
      <c r="GDF54" s="1165"/>
      <c r="GDG54" s="1165"/>
      <c r="GDH54" s="1165"/>
      <c r="GDI54" s="1165"/>
      <c r="GDJ54" s="1165"/>
      <c r="GDK54" s="1165"/>
      <c r="GDL54" s="1165"/>
      <c r="GDM54" s="1165"/>
      <c r="GDN54" s="1165"/>
      <c r="GDO54" s="1165"/>
      <c r="GDP54" s="1165"/>
      <c r="GDQ54" s="1165"/>
      <c r="GDR54" s="1165"/>
      <c r="GDS54" s="1165"/>
      <c r="GDT54" s="1165"/>
      <c r="GDU54" s="1165"/>
      <c r="GDV54" s="1165"/>
      <c r="GDW54" s="1165"/>
      <c r="GDX54" s="1165"/>
      <c r="GDY54" s="1165"/>
      <c r="GDZ54" s="1165"/>
      <c r="GEA54" s="1165"/>
      <c r="GEB54" s="1165"/>
      <c r="GEC54" s="1165"/>
      <c r="GED54" s="1165"/>
      <c r="GEE54" s="1165"/>
      <c r="GEF54" s="1165"/>
      <c r="GEG54" s="1165"/>
      <c r="GEH54" s="1165"/>
      <c r="GEI54" s="1165"/>
      <c r="GEJ54" s="1165"/>
      <c r="GEK54" s="1165"/>
      <c r="GEL54" s="1165"/>
      <c r="GEM54" s="1165"/>
      <c r="GEN54" s="1165"/>
      <c r="GEO54" s="1165"/>
      <c r="GEP54" s="1165"/>
      <c r="GEQ54" s="1165"/>
      <c r="GER54" s="1165"/>
      <c r="GES54" s="1165"/>
      <c r="GET54" s="1165"/>
      <c r="GEU54" s="1165"/>
      <c r="GEV54" s="1165"/>
      <c r="GEW54" s="1165"/>
      <c r="GEX54" s="1165"/>
      <c r="GEY54" s="1165"/>
      <c r="GEZ54" s="1165"/>
      <c r="GFA54" s="1165"/>
      <c r="GFB54" s="1165"/>
      <c r="GFC54" s="1165"/>
      <c r="GFD54" s="1165"/>
      <c r="GFE54" s="1165"/>
      <c r="GFF54" s="1165"/>
      <c r="GFG54" s="1165"/>
      <c r="GFH54" s="1165"/>
      <c r="GFI54" s="1165"/>
      <c r="GFJ54" s="1165"/>
      <c r="GFK54" s="1165"/>
      <c r="GFL54" s="1165"/>
      <c r="GFM54" s="1165"/>
      <c r="GFN54" s="1165"/>
      <c r="GFO54" s="1165"/>
      <c r="GFP54" s="1165"/>
      <c r="GFQ54" s="1165"/>
      <c r="GFR54" s="1165"/>
      <c r="GFS54" s="1165"/>
      <c r="GFT54" s="1165"/>
      <c r="GFU54" s="1165"/>
      <c r="GFV54" s="1165"/>
      <c r="GFW54" s="1165"/>
      <c r="GFX54" s="1165"/>
      <c r="GFY54" s="1165"/>
      <c r="GFZ54" s="1165"/>
      <c r="GGA54" s="1165"/>
      <c r="GGB54" s="1165"/>
      <c r="GGC54" s="1165"/>
      <c r="GGD54" s="1165"/>
      <c r="GGE54" s="1165"/>
      <c r="GGF54" s="1165"/>
      <c r="GGG54" s="1165"/>
      <c r="GGH54" s="1165"/>
      <c r="GGI54" s="1165"/>
      <c r="GGJ54" s="1165"/>
      <c r="GGK54" s="1165"/>
      <c r="GGL54" s="1165"/>
      <c r="GGM54" s="1165"/>
      <c r="GGN54" s="1165"/>
      <c r="GGO54" s="1165"/>
      <c r="GGP54" s="1165"/>
      <c r="GGQ54" s="1165"/>
      <c r="GGR54" s="1165"/>
      <c r="GGS54" s="1165"/>
      <c r="GGT54" s="1165"/>
      <c r="GGU54" s="1165"/>
      <c r="GGV54" s="1165"/>
      <c r="GGW54" s="1165"/>
      <c r="GGX54" s="1165"/>
      <c r="GGY54" s="1165"/>
      <c r="GGZ54" s="1165"/>
      <c r="GHA54" s="1165"/>
      <c r="GHB54" s="1165"/>
      <c r="GHC54" s="1165"/>
      <c r="GHD54" s="1165"/>
      <c r="GHE54" s="1165"/>
      <c r="GHF54" s="1165"/>
      <c r="GHG54" s="1165"/>
      <c r="GHH54" s="1165"/>
      <c r="GHI54" s="1165"/>
      <c r="GHJ54" s="1165"/>
      <c r="GHK54" s="1165"/>
      <c r="GHL54" s="1165"/>
      <c r="GHM54" s="1165"/>
      <c r="GHN54" s="1165"/>
      <c r="GHO54" s="1165"/>
      <c r="GHP54" s="1165"/>
      <c r="GHQ54" s="1165"/>
      <c r="GHR54" s="1165"/>
      <c r="GHS54" s="1165"/>
      <c r="GHT54" s="1165"/>
      <c r="GHU54" s="1165"/>
      <c r="GHV54" s="1165"/>
      <c r="GHW54" s="1165"/>
      <c r="GHX54" s="1165"/>
      <c r="GHY54" s="1165"/>
      <c r="GHZ54" s="1165"/>
      <c r="GIA54" s="1165"/>
      <c r="GIB54" s="1165"/>
      <c r="GIC54" s="1165"/>
      <c r="GID54" s="1165"/>
      <c r="GIE54" s="1165"/>
      <c r="GIF54" s="1165"/>
      <c r="GIG54" s="1165"/>
      <c r="GIH54" s="1165"/>
      <c r="GII54" s="1165"/>
      <c r="GIJ54" s="1165"/>
      <c r="GIK54" s="1165"/>
      <c r="GIL54" s="1165"/>
      <c r="GIM54" s="1165"/>
      <c r="GIN54" s="1165"/>
      <c r="GIO54" s="1165"/>
      <c r="GIP54" s="1165"/>
      <c r="GIQ54" s="1165"/>
      <c r="GIR54" s="1165"/>
      <c r="GIS54" s="1165"/>
      <c r="GIT54" s="1165"/>
      <c r="GIU54" s="1165"/>
      <c r="GIV54" s="1165"/>
      <c r="GIW54" s="1165"/>
      <c r="GIX54" s="1165"/>
      <c r="GIY54" s="1165"/>
      <c r="GIZ54" s="1165"/>
      <c r="GJA54" s="1165"/>
      <c r="GJB54" s="1165"/>
      <c r="GJC54" s="1165"/>
      <c r="GJD54" s="1165"/>
      <c r="GJE54" s="1165"/>
      <c r="GJF54" s="1165"/>
      <c r="GJG54" s="1165"/>
      <c r="GJH54" s="1165"/>
      <c r="GJI54" s="1165"/>
      <c r="GJJ54" s="1165"/>
      <c r="GJK54" s="1165"/>
      <c r="GJL54" s="1165"/>
      <c r="GJM54" s="1165"/>
      <c r="GJN54" s="1165"/>
      <c r="GJO54" s="1165"/>
      <c r="GJP54" s="1165"/>
      <c r="GJQ54" s="1165"/>
      <c r="GJR54" s="1165"/>
      <c r="GJS54" s="1165"/>
      <c r="GJT54" s="1165"/>
      <c r="GJU54" s="1165"/>
      <c r="GJV54" s="1165"/>
      <c r="GJW54" s="1165"/>
      <c r="GJX54" s="1165"/>
      <c r="GJY54" s="1165"/>
      <c r="GJZ54" s="1165"/>
      <c r="GKA54" s="1165"/>
      <c r="GKB54" s="1165"/>
      <c r="GKC54" s="1165"/>
      <c r="GKD54" s="1165"/>
      <c r="GKE54" s="1165"/>
      <c r="GKF54" s="1165"/>
      <c r="GKG54" s="1165"/>
      <c r="GKH54" s="1165"/>
      <c r="GKI54" s="1165"/>
      <c r="GKJ54" s="1165"/>
      <c r="GKK54" s="1165"/>
      <c r="GKL54" s="1165"/>
      <c r="GKM54" s="1165"/>
      <c r="GKN54" s="1165"/>
      <c r="GKO54" s="1165"/>
      <c r="GKP54" s="1165"/>
      <c r="GKQ54" s="1165"/>
      <c r="GKR54" s="1165"/>
      <c r="GKS54" s="1165"/>
      <c r="GKT54" s="1165"/>
      <c r="GKU54" s="1165"/>
      <c r="GKV54" s="1165"/>
      <c r="GKW54" s="1165"/>
      <c r="GKX54" s="1165"/>
      <c r="GKY54" s="1165"/>
      <c r="GKZ54" s="1165"/>
      <c r="GLA54" s="1165"/>
      <c r="GLB54" s="1165"/>
      <c r="GLC54" s="1165"/>
      <c r="GLD54" s="1165"/>
      <c r="GLE54" s="1165"/>
      <c r="GLF54" s="1165"/>
      <c r="GLG54" s="1165"/>
      <c r="GLH54" s="1165"/>
      <c r="GLI54" s="1165"/>
      <c r="GLJ54" s="1165"/>
      <c r="GLK54" s="1165"/>
      <c r="GLL54" s="1165"/>
      <c r="GLM54" s="1165"/>
      <c r="GLN54" s="1165"/>
      <c r="GLO54" s="1165"/>
      <c r="GLP54" s="1165"/>
      <c r="GLQ54" s="1165"/>
      <c r="GLR54" s="1165"/>
      <c r="GLS54" s="1165"/>
      <c r="GLT54" s="1165"/>
      <c r="GLU54" s="1165"/>
      <c r="GLV54" s="1165"/>
      <c r="GLW54" s="1165"/>
      <c r="GLX54" s="1165"/>
      <c r="GLY54" s="1165"/>
      <c r="GLZ54" s="1165"/>
      <c r="GMA54" s="1165"/>
      <c r="GMB54" s="1165"/>
      <c r="GMC54" s="1165"/>
      <c r="GMD54" s="1165"/>
      <c r="GME54" s="1165"/>
      <c r="GMF54" s="1165"/>
      <c r="GMG54" s="1165"/>
      <c r="GMH54" s="1165"/>
      <c r="GMI54" s="1165"/>
      <c r="GMJ54" s="1165"/>
      <c r="GMK54" s="1165"/>
      <c r="GML54" s="1165"/>
      <c r="GMM54" s="1165"/>
      <c r="GMN54" s="1165"/>
      <c r="GMO54" s="1165"/>
      <c r="GMP54" s="1165"/>
      <c r="GMQ54" s="1165"/>
      <c r="GMR54" s="1165"/>
      <c r="GMS54" s="1165"/>
      <c r="GMT54" s="1165"/>
      <c r="GMU54" s="1165"/>
      <c r="GMV54" s="1165"/>
      <c r="GMW54" s="1165"/>
      <c r="GMX54" s="1165"/>
      <c r="GMY54" s="1165"/>
      <c r="GMZ54" s="1165"/>
      <c r="GNA54" s="1165"/>
      <c r="GNB54" s="1165"/>
      <c r="GNC54" s="1165"/>
      <c r="GND54" s="1165"/>
      <c r="GNE54" s="1165"/>
      <c r="GNF54" s="1165"/>
      <c r="GNG54" s="1165"/>
      <c r="GNH54" s="1165"/>
      <c r="GNI54" s="1165"/>
      <c r="GNJ54" s="1165"/>
      <c r="GNK54" s="1165"/>
      <c r="GNL54" s="1165"/>
      <c r="GNM54" s="1165"/>
      <c r="GNN54" s="1165"/>
      <c r="GNO54" s="1165"/>
      <c r="GNP54" s="1165"/>
      <c r="GNQ54" s="1165"/>
      <c r="GNR54" s="1165"/>
      <c r="GNS54" s="1165"/>
      <c r="GNT54" s="1165"/>
      <c r="GNU54" s="1165"/>
      <c r="GNV54" s="1165"/>
      <c r="GNW54" s="1165"/>
      <c r="GNX54" s="1165"/>
      <c r="GNY54" s="1165"/>
      <c r="GNZ54" s="1165"/>
      <c r="GOA54" s="1165"/>
      <c r="GOB54" s="1165"/>
      <c r="GOC54" s="1165"/>
      <c r="GOD54" s="1165"/>
      <c r="GOE54" s="1165"/>
      <c r="GOF54" s="1165"/>
      <c r="GOG54" s="1165"/>
      <c r="GOH54" s="1165"/>
      <c r="GOI54" s="1165"/>
      <c r="GOJ54" s="1165"/>
      <c r="GOK54" s="1165"/>
      <c r="GOL54" s="1165"/>
      <c r="GOM54" s="1165"/>
      <c r="GON54" s="1165"/>
      <c r="GOO54" s="1165"/>
      <c r="GOP54" s="1165"/>
      <c r="GOQ54" s="1165"/>
      <c r="GOR54" s="1165"/>
      <c r="GOS54" s="1165"/>
      <c r="GOT54" s="1165"/>
      <c r="GOU54" s="1165"/>
      <c r="GOV54" s="1165"/>
      <c r="GOW54" s="1165"/>
      <c r="GOX54" s="1165"/>
      <c r="GOY54" s="1165"/>
      <c r="GOZ54" s="1165"/>
      <c r="GPA54" s="1165"/>
      <c r="GPB54" s="1165"/>
      <c r="GPC54" s="1165"/>
      <c r="GPD54" s="1165"/>
      <c r="GPE54" s="1165"/>
      <c r="GPF54" s="1165"/>
      <c r="GPG54" s="1165"/>
      <c r="GPH54" s="1165"/>
      <c r="GPI54" s="1165"/>
      <c r="GPJ54" s="1165"/>
      <c r="GPK54" s="1165"/>
      <c r="GPL54" s="1165"/>
      <c r="GPM54" s="1165"/>
      <c r="GPN54" s="1165"/>
      <c r="GPO54" s="1165"/>
      <c r="GPP54" s="1165"/>
      <c r="GPQ54" s="1165"/>
      <c r="GPR54" s="1165"/>
      <c r="GPS54" s="1165"/>
      <c r="GPT54" s="1165"/>
      <c r="GPU54" s="1165"/>
      <c r="GPV54" s="1165"/>
      <c r="GPW54" s="1165"/>
      <c r="GPX54" s="1165"/>
      <c r="GPY54" s="1165"/>
      <c r="GPZ54" s="1165"/>
      <c r="GQA54" s="1165"/>
      <c r="GQB54" s="1165"/>
      <c r="GQC54" s="1165"/>
      <c r="GQD54" s="1165"/>
      <c r="GQE54" s="1165"/>
      <c r="GQF54" s="1165"/>
      <c r="GQG54" s="1165"/>
      <c r="GQH54" s="1165"/>
      <c r="GQI54" s="1165"/>
      <c r="GQJ54" s="1165"/>
      <c r="GQK54" s="1165"/>
      <c r="GQL54" s="1165"/>
      <c r="GQM54" s="1165"/>
      <c r="GQN54" s="1165"/>
      <c r="GQO54" s="1165"/>
      <c r="GQP54" s="1165"/>
      <c r="GQQ54" s="1165"/>
      <c r="GQR54" s="1165"/>
      <c r="GQS54" s="1165"/>
      <c r="GQT54" s="1165"/>
      <c r="GQU54" s="1165"/>
      <c r="GQV54" s="1165"/>
      <c r="GQW54" s="1165"/>
      <c r="GQX54" s="1165"/>
      <c r="GQY54" s="1165"/>
      <c r="GQZ54" s="1165"/>
      <c r="GRA54" s="1165"/>
      <c r="GRB54" s="1165"/>
      <c r="GRC54" s="1165"/>
      <c r="GRD54" s="1165"/>
      <c r="GRE54" s="1165"/>
      <c r="GRF54" s="1165"/>
      <c r="GRG54" s="1165"/>
      <c r="GRH54" s="1165"/>
      <c r="GRI54" s="1165"/>
      <c r="GRJ54" s="1165"/>
      <c r="GRK54" s="1165"/>
      <c r="GRL54" s="1165"/>
      <c r="GRM54" s="1165"/>
      <c r="GRN54" s="1165"/>
      <c r="GRO54" s="1165"/>
      <c r="GRP54" s="1165"/>
      <c r="GRQ54" s="1165"/>
      <c r="GRR54" s="1165"/>
      <c r="GRS54" s="1165"/>
      <c r="GRT54" s="1165"/>
      <c r="GRU54" s="1165"/>
      <c r="GRV54" s="1165"/>
      <c r="GRW54" s="1165"/>
      <c r="GRX54" s="1165"/>
      <c r="GRY54" s="1165"/>
      <c r="GRZ54" s="1165"/>
      <c r="GSA54" s="1165"/>
      <c r="GSB54" s="1165"/>
      <c r="GSC54" s="1165"/>
      <c r="GSD54" s="1165"/>
      <c r="GSE54" s="1165"/>
      <c r="GSF54" s="1165"/>
      <c r="GSG54" s="1165"/>
      <c r="GSH54" s="1165"/>
      <c r="GSI54" s="1165"/>
      <c r="GSJ54" s="1165"/>
      <c r="GSK54" s="1165"/>
      <c r="GSL54" s="1165"/>
      <c r="GSM54" s="1165"/>
      <c r="GSN54" s="1165"/>
      <c r="GSO54" s="1165"/>
      <c r="GSP54" s="1165"/>
      <c r="GSQ54" s="1165"/>
      <c r="GSR54" s="1165"/>
      <c r="GSS54" s="1165"/>
      <c r="GST54" s="1165"/>
      <c r="GSU54" s="1165"/>
      <c r="GSV54" s="1165"/>
      <c r="GSW54" s="1165"/>
      <c r="GSX54" s="1165"/>
      <c r="GSY54" s="1165"/>
      <c r="GSZ54" s="1165"/>
      <c r="GTA54" s="1165"/>
      <c r="GTB54" s="1165"/>
      <c r="GTC54" s="1165"/>
      <c r="GTD54" s="1165"/>
      <c r="GTE54" s="1165"/>
      <c r="GTF54" s="1165"/>
      <c r="GTG54" s="1165"/>
      <c r="GTH54" s="1165"/>
      <c r="GTI54" s="1165"/>
      <c r="GTJ54" s="1165"/>
      <c r="GTK54" s="1165"/>
      <c r="GTL54" s="1165"/>
      <c r="GTM54" s="1165"/>
      <c r="GTN54" s="1165"/>
      <c r="GTO54" s="1165"/>
      <c r="GTP54" s="1165"/>
      <c r="GTQ54" s="1165"/>
      <c r="GTR54" s="1165"/>
      <c r="GTS54" s="1165"/>
      <c r="GTT54" s="1165"/>
      <c r="GTU54" s="1165"/>
      <c r="GTV54" s="1165"/>
      <c r="GTW54" s="1165"/>
      <c r="GTX54" s="1165"/>
      <c r="GTY54" s="1165"/>
      <c r="GTZ54" s="1165"/>
      <c r="GUA54" s="1165"/>
      <c r="GUB54" s="1165"/>
      <c r="GUC54" s="1165"/>
      <c r="GUD54" s="1165"/>
      <c r="GUE54" s="1165"/>
      <c r="GUF54" s="1165"/>
      <c r="GUG54" s="1165"/>
      <c r="GUH54" s="1165"/>
      <c r="GUI54" s="1165"/>
      <c r="GUJ54" s="1165"/>
      <c r="GUK54" s="1165"/>
      <c r="GUL54" s="1165"/>
      <c r="GUM54" s="1165"/>
      <c r="GUN54" s="1165"/>
      <c r="GUO54" s="1165"/>
      <c r="GUP54" s="1165"/>
      <c r="GUQ54" s="1165"/>
      <c r="GUR54" s="1165"/>
      <c r="GUS54" s="1165"/>
      <c r="GUT54" s="1165"/>
      <c r="GUU54" s="1165"/>
      <c r="GUV54" s="1165"/>
      <c r="GUW54" s="1165"/>
      <c r="GUX54" s="1165"/>
      <c r="GUY54" s="1165"/>
      <c r="GUZ54" s="1165"/>
      <c r="GVA54" s="1165"/>
      <c r="GVB54" s="1165"/>
      <c r="GVC54" s="1165"/>
      <c r="GVD54" s="1165"/>
      <c r="GVE54" s="1165"/>
      <c r="GVF54" s="1165"/>
      <c r="GVG54" s="1165"/>
      <c r="GVH54" s="1165"/>
      <c r="GVI54" s="1165"/>
      <c r="GVJ54" s="1165"/>
      <c r="GVK54" s="1165"/>
      <c r="GVL54" s="1165"/>
      <c r="GVM54" s="1165"/>
      <c r="GVN54" s="1165"/>
      <c r="GVO54" s="1165"/>
      <c r="GVP54" s="1165"/>
      <c r="GVQ54" s="1165"/>
      <c r="GVR54" s="1165"/>
      <c r="GVS54" s="1165"/>
      <c r="GVT54" s="1165"/>
      <c r="GVU54" s="1165"/>
      <c r="GVV54" s="1165"/>
      <c r="GVW54" s="1165"/>
      <c r="GVX54" s="1165"/>
      <c r="GVY54" s="1165"/>
      <c r="GVZ54" s="1165"/>
      <c r="GWA54" s="1165"/>
      <c r="GWB54" s="1165"/>
      <c r="GWC54" s="1165"/>
      <c r="GWD54" s="1165"/>
      <c r="GWE54" s="1165"/>
      <c r="GWF54" s="1165"/>
      <c r="GWG54" s="1165"/>
      <c r="GWH54" s="1165"/>
      <c r="GWI54" s="1165"/>
      <c r="GWJ54" s="1165"/>
      <c r="GWK54" s="1165"/>
      <c r="GWL54" s="1165"/>
      <c r="GWM54" s="1165"/>
      <c r="GWN54" s="1165"/>
      <c r="GWO54" s="1165"/>
      <c r="GWP54" s="1165"/>
      <c r="GWQ54" s="1165"/>
      <c r="GWR54" s="1165"/>
      <c r="GWS54" s="1165"/>
      <c r="GWT54" s="1165"/>
      <c r="GWU54" s="1165"/>
      <c r="GWV54" s="1165"/>
      <c r="GWW54" s="1165"/>
      <c r="GWX54" s="1165"/>
      <c r="GWY54" s="1165"/>
      <c r="GWZ54" s="1165"/>
      <c r="GXA54" s="1165"/>
      <c r="GXB54" s="1165"/>
      <c r="GXC54" s="1165"/>
      <c r="GXD54" s="1165"/>
      <c r="GXE54" s="1165"/>
      <c r="GXF54" s="1165"/>
      <c r="GXG54" s="1165"/>
      <c r="GXH54" s="1165"/>
      <c r="GXI54" s="1165"/>
      <c r="GXJ54" s="1165"/>
      <c r="GXK54" s="1165"/>
      <c r="GXL54" s="1165"/>
      <c r="GXM54" s="1165"/>
      <c r="GXN54" s="1165"/>
      <c r="GXO54" s="1165"/>
      <c r="GXP54" s="1165"/>
      <c r="GXQ54" s="1165"/>
      <c r="GXR54" s="1165"/>
      <c r="GXS54" s="1165"/>
      <c r="GXT54" s="1165"/>
      <c r="GXU54" s="1165"/>
      <c r="GXV54" s="1165"/>
      <c r="GXW54" s="1165"/>
      <c r="GXX54" s="1165"/>
      <c r="GXY54" s="1165"/>
      <c r="GXZ54" s="1165"/>
      <c r="GYA54" s="1165"/>
      <c r="GYB54" s="1165"/>
      <c r="GYC54" s="1165"/>
      <c r="GYD54" s="1165"/>
      <c r="GYE54" s="1165"/>
      <c r="GYF54" s="1165"/>
      <c r="GYG54" s="1165"/>
      <c r="GYH54" s="1165"/>
      <c r="GYI54" s="1165"/>
      <c r="GYJ54" s="1165"/>
      <c r="GYK54" s="1165"/>
      <c r="GYL54" s="1165"/>
      <c r="GYM54" s="1165"/>
      <c r="GYN54" s="1165"/>
      <c r="GYO54" s="1165"/>
      <c r="GYP54" s="1165"/>
      <c r="GYQ54" s="1165"/>
      <c r="GYR54" s="1165"/>
      <c r="GYS54" s="1165"/>
      <c r="GYT54" s="1165"/>
      <c r="GYU54" s="1165"/>
      <c r="GYV54" s="1165"/>
      <c r="GYW54" s="1165"/>
      <c r="GYX54" s="1165"/>
      <c r="GYY54" s="1165"/>
      <c r="GYZ54" s="1165"/>
      <c r="GZA54" s="1165"/>
      <c r="GZB54" s="1165"/>
      <c r="GZC54" s="1165"/>
      <c r="GZD54" s="1165"/>
      <c r="GZE54" s="1165"/>
      <c r="GZF54" s="1165"/>
      <c r="GZG54" s="1165"/>
      <c r="GZH54" s="1165"/>
      <c r="GZI54" s="1165"/>
      <c r="GZJ54" s="1165"/>
      <c r="GZK54" s="1165"/>
      <c r="GZL54" s="1165"/>
      <c r="GZM54" s="1165"/>
      <c r="GZN54" s="1165"/>
      <c r="GZO54" s="1165"/>
      <c r="GZP54" s="1165"/>
      <c r="GZQ54" s="1165"/>
      <c r="GZR54" s="1165"/>
      <c r="GZS54" s="1165"/>
      <c r="GZT54" s="1165"/>
      <c r="GZU54" s="1165"/>
      <c r="GZV54" s="1165"/>
      <c r="GZW54" s="1165"/>
      <c r="GZX54" s="1165"/>
      <c r="GZY54" s="1165"/>
      <c r="GZZ54" s="1165"/>
      <c r="HAA54" s="1165"/>
      <c r="HAB54" s="1165"/>
      <c r="HAC54" s="1165"/>
      <c r="HAD54" s="1165"/>
      <c r="HAE54" s="1165"/>
      <c r="HAF54" s="1165"/>
      <c r="HAG54" s="1165"/>
      <c r="HAH54" s="1165"/>
      <c r="HAI54" s="1165"/>
      <c r="HAJ54" s="1165"/>
      <c r="HAK54" s="1165"/>
      <c r="HAL54" s="1165"/>
      <c r="HAM54" s="1165"/>
      <c r="HAN54" s="1165"/>
      <c r="HAO54" s="1165"/>
      <c r="HAP54" s="1165"/>
      <c r="HAQ54" s="1165"/>
      <c r="HAR54" s="1165"/>
      <c r="HAS54" s="1165"/>
      <c r="HAT54" s="1165"/>
      <c r="HAU54" s="1165"/>
      <c r="HAV54" s="1165"/>
      <c r="HAW54" s="1165"/>
      <c r="HAX54" s="1165"/>
      <c r="HAY54" s="1165"/>
      <c r="HAZ54" s="1165"/>
      <c r="HBA54" s="1165"/>
      <c r="HBB54" s="1165"/>
      <c r="HBC54" s="1165"/>
      <c r="HBD54" s="1165"/>
      <c r="HBE54" s="1165"/>
      <c r="HBF54" s="1165"/>
      <c r="HBG54" s="1165"/>
      <c r="HBH54" s="1165"/>
      <c r="HBI54" s="1165"/>
      <c r="HBJ54" s="1165"/>
      <c r="HBK54" s="1165"/>
      <c r="HBL54" s="1165"/>
      <c r="HBM54" s="1165"/>
      <c r="HBN54" s="1165"/>
      <c r="HBO54" s="1165"/>
      <c r="HBP54" s="1165"/>
      <c r="HBQ54" s="1165"/>
      <c r="HBR54" s="1165"/>
      <c r="HBS54" s="1165"/>
      <c r="HBT54" s="1165"/>
      <c r="HBU54" s="1165"/>
      <c r="HBV54" s="1165"/>
      <c r="HBW54" s="1165"/>
      <c r="HBX54" s="1165"/>
      <c r="HBY54" s="1165"/>
      <c r="HBZ54" s="1165"/>
      <c r="HCA54" s="1165"/>
      <c r="HCB54" s="1165"/>
      <c r="HCC54" s="1165"/>
      <c r="HCD54" s="1165"/>
      <c r="HCE54" s="1165"/>
      <c r="HCF54" s="1165"/>
      <c r="HCG54" s="1165"/>
      <c r="HCH54" s="1165"/>
      <c r="HCI54" s="1165"/>
      <c r="HCJ54" s="1165"/>
      <c r="HCK54" s="1165"/>
      <c r="HCL54" s="1165"/>
      <c r="HCM54" s="1165"/>
      <c r="HCN54" s="1165"/>
      <c r="HCO54" s="1165"/>
      <c r="HCP54" s="1165"/>
      <c r="HCQ54" s="1165"/>
      <c r="HCR54" s="1165"/>
      <c r="HCS54" s="1165"/>
      <c r="HCT54" s="1165"/>
      <c r="HCU54" s="1165"/>
      <c r="HCV54" s="1165"/>
      <c r="HCW54" s="1165"/>
      <c r="HCX54" s="1165"/>
      <c r="HCY54" s="1165"/>
      <c r="HCZ54" s="1165"/>
      <c r="HDA54" s="1165"/>
      <c r="HDB54" s="1165"/>
      <c r="HDC54" s="1165"/>
      <c r="HDD54" s="1165"/>
      <c r="HDE54" s="1165"/>
      <c r="HDF54" s="1165"/>
      <c r="HDG54" s="1165"/>
      <c r="HDH54" s="1165"/>
      <c r="HDI54" s="1165"/>
      <c r="HDJ54" s="1165"/>
      <c r="HDK54" s="1165"/>
      <c r="HDL54" s="1165"/>
      <c r="HDM54" s="1165"/>
      <c r="HDN54" s="1165"/>
      <c r="HDO54" s="1165"/>
      <c r="HDP54" s="1165"/>
      <c r="HDQ54" s="1165"/>
      <c r="HDR54" s="1165"/>
      <c r="HDS54" s="1165"/>
      <c r="HDT54" s="1165"/>
      <c r="HDU54" s="1165"/>
      <c r="HDV54" s="1165"/>
      <c r="HDW54" s="1165"/>
      <c r="HDX54" s="1165"/>
      <c r="HDY54" s="1165"/>
      <c r="HDZ54" s="1165"/>
      <c r="HEA54" s="1165"/>
      <c r="HEB54" s="1165"/>
      <c r="HEC54" s="1165"/>
      <c r="HED54" s="1165"/>
      <c r="HEE54" s="1165"/>
      <c r="HEF54" s="1165"/>
      <c r="HEG54" s="1165"/>
      <c r="HEH54" s="1165"/>
      <c r="HEI54" s="1165"/>
      <c r="HEJ54" s="1165"/>
      <c r="HEK54" s="1165"/>
      <c r="HEL54" s="1165"/>
      <c r="HEM54" s="1165"/>
      <c r="HEN54" s="1165"/>
      <c r="HEO54" s="1165"/>
      <c r="HEP54" s="1165"/>
      <c r="HEQ54" s="1165"/>
      <c r="HER54" s="1165"/>
      <c r="HES54" s="1165"/>
      <c r="HET54" s="1165"/>
      <c r="HEU54" s="1165"/>
      <c r="HEV54" s="1165"/>
      <c r="HEW54" s="1165"/>
      <c r="HEX54" s="1165"/>
      <c r="HEY54" s="1165"/>
      <c r="HEZ54" s="1165"/>
      <c r="HFA54" s="1165"/>
      <c r="HFB54" s="1165"/>
      <c r="HFC54" s="1165"/>
      <c r="HFD54" s="1165"/>
      <c r="HFE54" s="1165"/>
      <c r="HFF54" s="1165"/>
      <c r="HFG54" s="1165"/>
      <c r="HFH54" s="1165"/>
      <c r="HFI54" s="1165"/>
      <c r="HFJ54" s="1165"/>
      <c r="HFK54" s="1165"/>
      <c r="HFL54" s="1165"/>
      <c r="HFM54" s="1165"/>
      <c r="HFN54" s="1165"/>
      <c r="HFO54" s="1165"/>
      <c r="HFP54" s="1165"/>
      <c r="HFQ54" s="1165"/>
      <c r="HFR54" s="1165"/>
      <c r="HFS54" s="1165"/>
      <c r="HFT54" s="1165"/>
      <c r="HFU54" s="1165"/>
      <c r="HFV54" s="1165"/>
      <c r="HFW54" s="1165"/>
      <c r="HFX54" s="1165"/>
      <c r="HFY54" s="1165"/>
      <c r="HFZ54" s="1165"/>
      <c r="HGA54" s="1165"/>
      <c r="HGB54" s="1165"/>
      <c r="HGC54" s="1165"/>
      <c r="HGD54" s="1165"/>
      <c r="HGE54" s="1165"/>
      <c r="HGF54" s="1165"/>
      <c r="HGG54" s="1165"/>
      <c r="HGH54" s="1165"/>
      <c r="HGI54" s="1165"/>
      <c r="HGJ54" s="1165"/>
      <c r="HGK54" s="1165"/>
      <c r="HGL54" s="1165"/>
      <c r="HGM54" s="1165"/>
      <c r="HGN54" s="1165"/>
      <c r="HGO54" s="1165"/>
      <c r="HGP54" s="1165"/>
      <c r="HGQ54" s="1165"/>
      <c r="HGR54" s="1165"/>
      <c r="HGS54" s="1165"/>
      <c r="HGT54" s="1165"/>
      <c r="HGU54" s="1165"/>
      <c r="HGV54" s="1165"/>
      <c r="HGW54" s="1165"/>
      <c r="HGX54" s="1165"/>
      <c r="HGY54" s="1165"/>
      <c r="HGZ54" s="1165"/>
      <c r="HHA54" s="1165"/>
      <c r="HHB54" s="1165"/>
      <c r="HHC54" s="1165"/>
      <c r="HHD54" s="1165"/>
      <c r="HHE54" s="1165"/>
      <c r="HHF54" s="1165"/>
      <c r="HHG54" s="1165"/>
      <c r="HHH54" s="1165"/>
      <c r="HHI54" s="1165"/>
      <c r="HHJ54" s="1165"/>
      <c r="HHK54" s="1165"/>
      <c r="HHL54" s="1165"/>
      <c r="HHM54" s="1165"/>
      <c r="HHN54" s="1165"/>
      <c r="HHO54" s="1165"/>
      <c r="HHP54" s="1165"/>
      <c r="HHQ54" s="1165"/>
      <c r="HHR54" s="1165"/>
      <c r="HHS54" s="1165"/>
      <c r="HHT54" s="1165"/>
      <c r="HHU54" s="1165"/>
      <c r="HHV54" s="1165"/>
      <c r="HHW54" s="1165"/>
      <c r="HHX54" s="1165"/>
      <c r="HHY54" s="1165"/>
      <c r="HHZ54" s="1165"/>
      <c r="HIA54" s="1165"/>
      <c r="HIB54" s="1165"/>
      <c r="HIC54" s="1165"/>
      <c r="HID54" s="1165"/>
      <c r="HIE54" s="1165"/>
      <c r="HIF54" s="1165"/>
      <c r="HIG54" s="1165"/>
      <c r="HIH54" s="1165"/>
      <c r="HII54" s="1165"/>
      <c r="HIJ54" s="1165"/>
      <c r="HIK54" s="1165"/>
      <c r="HIL54" s="1165"/>
      <c r="HIM54" s="1165"/>
      <c r="HIN54" s="1165"/>
      <c r="HIO54" s="1165"/>
      <c r="HIP54" s="1165"/>
      <c r="HIQ54" s="1165"/>
      <c r="HIR54" s="1165"/>
      <c r="HIS54" s="1165"/>
      <c r="HIT54" s="1165"/>
      <c r="HIU54" s="1165"/>
      <c r="HIV54" s="1165"/>
      <c r="HIW54" s="1165"/>
      <c r="HIX54" s="1165"/>
      <c r="HIY54" s="1165"/>
      <c r="HIZ54" s="1165"/>
      <c r="HJA54" s="1165"/>
      <c r="HJB54" s="1165"/>
      <c r="HJC54" s="1165"/>
      <c r="HJD54" s="1165"/>
      <c r="HJE54" s="1165"/>
      <c r="HJF54" s="1165"/>
      <c r="HJG54" s="1165"/>
      <c r="HJH54" s="1165"/>
      <c r="HJI54" s="1165"/>
      <c r="HJJ54" s="1165"/>
      <c r="HJK54" s="1165"/>
      <c r="HJL54" s="1165"/>
      <c r="HJM54" s="1165"/>
      <c r="HJN54" s="1165"/>
      <c r="HJO54" s="1165"/>
      <c r="HJP54" s="1165"/>
      <c r="HJQ54" s="1165"/>
      <c r="HJR54" s="1165"/>
      <c r="HJS54" s="1165"/>
      <c r="HJT54" s="1165"/>
      <c r="HJU54" s="1165"/>
      <c r="HJV54" s="1165"/>
      <c r="HJW54" s="1165"/>
      <c r="HJX54" s="1165"/>
      <c r="HJY54" s="1165"/>
      <c r="HJZ54" s="1165"/>
      <c r="HKA54" s="1165"/>
      <c r="HKB54" s="1165"/>
      <c r="HKC54" s="1165"/>
      <c r="HKD54" s="1165"/>
      <c r="HKE54" s="1165"/>
      <c r="HKF54" s="1165"/>
      <c r="HKG54" s="1165"/>
      <c r="HKH54" s="1165"/>
      <c r="HKI54" s="1165"/>
      <c r="HKJ54" s="1165"/>
      <c r="HKK54" s="1165"/>
      <c r="HKL54" s="1165"/>
      <c r="HKM54" s="1165"/>
      <c r="HKN54" s="1165"/>
      <c r="HKO54" s="1165"/>
      <c r="HKP54" s="1165"/>
      <c r="HKQ54" s="1165"/>
      <c r="HKR54" s="1165"/>
      <c r="HKS54" s="1165"/>
      <c r="HKT54" s="1165"/>
      <c r="HKU54" s="1165"/>
      <c r="HKV54" s="1165"/>
      <c r="HKW54" s="1165"/>
      <c r="HKX54" s="1165"/>
      <c r="HKY54" s="1165"/>
      <c r="HKZ54" s="1165"/>
      <c r="HLA54" s="1165"/>
      <c r="HLB54" s="1165"/>
      <c r="HLC54" s="1165"/>
      <c r="HLD54" s="1165"/>
      <c r="HLE54" s="1165"/>
      <c r="HLF54" s="1165"/>
      <c r="HLG54" s="1165"/>
      <c r="HLH54" s="1165"/>
      <c r="HLI54" s="1165"/>
      <c r="HLJ54" s="1165"/>
      <c r="HLK54" s="1165"/>
      <c r="HLL54" s="1165"/>
      <c r="HLM54" s="1165"/>
      <c r="HLN54" s="1165"/>
      <c r="HLO54" s="1165"/>
      <c r="HLP54" s="1165"/>
      <c r="HLQ54" s="1165"/>
      <c r="HLR54" s="1165"/>
      <c r="HLS54" s="1165"/>
      <c r="HLT54" s="1165"/>
      <c r="HLU54" s="1165"/>
      <c r="HLV54" s="1165"/>
      <c r="HLW54" s="1165"/>
      <c r="HLX54" s="1165"/>
      <c r="HLY54" s="1165"/>
      <c r="HLZ54" s="1165"/>
      <c r="HMA54" s="1165"/>
      <c r="HMB54" s="1165"/>
      <c r="HMC54" s="1165"/>
      <c r="HMD54" s="1165"/>
      <c r="HME54" s="1165"/>
      <c r="HMF54" s="1165"/>
      <c r="HMG54" s="1165"/>
      <c r="HMH54" s="1165"/>
      <c r="HMI54" s="1165"/>
      <c r="HMJ54" s="1165"/>
      <c r="HMK54" s="1165"/>
      <c r="HML54" s="1165"/>
      <c r="HMM54" s="1165"/>
      <c r="HMN54" s="1165"/>
      <c r="HMO54" s="1165"/>
      <c r="HMP54" s="1165"/>
      <c r="HMQ54" s="1165"/>
      <c r="HMR54" s="1165"/>
      <c r="HMS54" s="1165"/>
      <c r="HMT54" s="1165"/>
      <c r="HMU54" s="1165"/>
      <c r="HMV54" s="1165"/>
      <c r="HMW54" s="1165"/>
      <c r="HMX54" s="1165"/>
      <c r="HMY54" s="1165"/>
      <c r="HMZ54" s="1165"/>
      <c r="HNA54" s="1165"/>
      <c r="HNB54" s="1165"/>
      <c r="HNC54" s="1165"/>
      <c r="HND54" s="1165"/>
      <c r="HNE54" s="1165"/>
      <c r="HNF54" s="1165"/>
      <c r="HNG54" s="1165"/>
      <c r="HNH54" s="1165"/>
      <c r="HNI54" s="1165"/>
      <c r="HNJ54" s="1165"/>
      <c r="HNK54" s="1165"/>
      <c r="HNL54" s="1165"/>
      <c r="HNM54" s="1165"/>
      <c r="HNN54" s="1165"/>
      <c r="HNO54" s="1165"/>
      <c r="HNP54" s="1165"/>
      <c r="HNQ54" s="1165"/>
      <c r="HNR54" s="1165"/>
      <c r="HNS54" s="1165"/>
      <c r="HNT54" s="1165"/>
      <c r="HNU54" s="1165"/>
      <c r="HNV54" s="1165"/>
      <c r="HNW54" s="1165"/>
      <c r="HNX54" s="1165"/>
      <c r="HNY54" s="1165"/>
      <c r="HNZ54" s="1165"/>
      <c r="HOA54" s="1165"/>
      <c r="HOB54" s="1165"/>
      <c r="HOC54" s="1165"/>
      <c r="HOD54" s="1165"/>
      <c r="HOE54" s="1165"/>
      <c r="HOF54" s="1165"/>
      <c r="HOG54" s="1165"/>
      <c r="HOH54" s="1165"/>
      <c r="HOI54" s="1165"/>
      <c r="HOJ54" s="1165"/>
      <c r="HOK54" s="1165"/>
      <c r="HOL54" s="1165"/>
      <c r="HOM54" s="1165"/>
      <c r="HON54" s="1165"/>
      <c r="HOO54" s="1165"/>
      <c r="HOP54" s="1165"/>
      <c r="HOQ54" s="1165"/>
      <c r="HOR54" s="1165"/>
      <c r="HOS54" s="1165"/>
      <c r="HOT54" s="1165"/>
      <c r="HOU54" s="1165"/>
      <c r="HOV54" s="1165"/>
      <c r="HOW54" s="1165"/>
      <c r="HOX54" s="1165"/>
      <c r="HOY54" s="1165"/>
      <c r="HOZ54" s="1165"/>
      <c r="HPA54" s="1165"/>
      <c r="HPB54" s="1165"/>
      <c r="HPC54" s="1165"/>
      <c r="HPD54" s="1165"/>
      <c r="HPE54" s="1165"/>
      <c r="HPF54" s="1165"/>
      <c r="HPG54" s="1165"/>
      <c r="HPH54" s="1165"/>
      <c r="HPI54" s="1165"/>
      <c r="HPJ54" s="1165"/>
      <c r="HPK54" s="1165"/>
      <c r="HPL54" s="1165"/>
      <c r="HPM54" s="1165"/>
      <c r="HPN54" s="1165"/>
      <c r="HPO54" s="1165"/>
      <c r="HPP54" s="1165"/>
      <c r="HPQ54" s="1165"/>
      <c r="HPR54" s="1165"/>
      <c r="HPS54" s="1165"/>
      <c r="HPT54" s="1165"/>
      <c r="HPU54" s="1165"/>
      <c r="HPV54" s="1165"/>
      <c r="HPW54" s="1165"/>
      <c r="HPX54" s="1165"/>
      <c r="HPY54" s="1165"/>
      <c r="HPZ54" s="1165"/>
      <c r="HQA54" s="1165"/>
      <c r="HQB54" s="1165"/>
      <c r="HQC54" s="1165"/>
      <c r="HQD54" s="1165"/>
      <c r="HQE54" s="1165"/>
      <c r="HQF54" s="1165"/>
      <c r="HQG54" s="1165"/>
      <c r="HQH54" s="1165"/>
      <c r="HQI54" s="1165"/>
      <c r="HQJ54" s="1165"/>
      <c r="HQK54" s="1165"/>
      <c r="HQL54" s="1165"/>
      <c r="HQM54" s="1165"/>
      <c r="HQN54" s="1165"/>
      <c r="HQO54" s="1165"/>
      <c r="HQP54" s="1165"/>
      <c r="HQQ54" s="1165"/>
      <c r="HQR54" s="1165"/>
      <c r="HQS54" s="1165"/>
      <c r="HQT54" s="1165"/>
      <c r="HQU54" s="1165"/>
      <c r="HQV54" s="1165"/>
      <c r="HQW54" s="1165"/>
      <c r="HQX54" s="1165"/>
      <c r="HQY54" s="1165"/>
      <c r="HQZ54" s="1165"/>
      <c r="HRA54" s="1165"/>
      <c r="HRB54" s="1165"/>
      <c r="HRC54" s="1165"/>
      <c r="HRD54" s="1165"/>
      <c r="HRE54" s="1165"/>
      <c r="HRF54" s="1165"/>
      <c r="HRG54" s="1165"/>
      <c r="HRH54" s="1165"/>
      <c r="HRI54" s="1165"/>
      <c r="HRJ54" s="1165"/>
      <c r="HRK54" s="1165"/>
      <c r="HRL54" s="1165"/>
      <c r="HRM54" s="1165"/>
      <c r="HRN54" s="1165"/>
      <c r="HRO54" s="1165"/>
      <c r="HRP54" s="1165"/>
      <c r="HRQ54" s="1165"/>
      <c r="HRR54" s="1165"/>
      <c r="HRS54" s="1165"/>
      <c r="HRT54" s="1165"/>
      <c r="HRU54" s="1165"/>
      <c r="HRV54" s="1165"/>
      <c r="HRW54" s="1165"/>
      <c r="HRX54" s="1165"/>
      <c r="HRY54" s="1165"/>
      <c r="HRZ54" s="1165"/>
      <c r="HSA54" s="1165"/>
      <c r="HSB54" s="1165"/>
      <c r="HSC54" s="1165"/>
      <c r="HSD54" s="1165"/>
      <c r="HSE54" s="1165"/>
      <c r="HSF54" s="1165"/>
      <c r="HSG54" s="1165"/>
      <c r="HSH54" s="1165"/>
      <c r="HSI54" s="1165"/>
      <c r="HSJ54" s="1165"/>
      <c r="HSK54" s="1165"/>
      <c r="HSL54" s="1165"/>
      <c r="HSM54" s="1165"/>
      <c r="HSN54" s="1165"/>
      <c r="HSO54" s="1165"/>
      <c r="HSP54" s="1165"/>
      <c r="HSQ54" s="1165"/>
      <c r="HSR54" s="1165"/>
      <c r="HSS54" s="1165"/>
      <c r="HST54" s="1165"/>
      <c r="HSU54" s="1165"/>
      <c r="HSV54" s="1165"/>
      <c r="HSW54" s="1165"/>
      <c r="HSX54" s="1165"/>
      <c r="HSY54" s="1165"/>
      <c r="HSZ54" s="1165"/>
      <c r="HTA54" s="1165"/>
      <c r="HTB54" s="1165"/>
      <c r="HTC54" s="1165"/>
      <c r="HTD54" s="1165"/>
      <c r="HTE54" s="1165"/>
      <c r="HTF54" s="1165"/>
      <c r="HTG54" s="1165"/>
      <c r="HTH54" s="1165"/>
      <c r="HTI54" s="1165"/>
      <c r="HTJ54" s="1165"/>
      <c r="HTK54" s="1165"/>
      <c r="HTL54" s="1165"/>
      <c r="HTM54" s="1165"/>
      <c r="HTN54" s="1165"/>
      <c r="HTO54" s="1165"/>
      <c r="HTP54" s="1165"/>
      <c r="HTQ54" s="1165"/>
      <c r="HTR54" s="1165"/>
      <c r="HTS54" s="1165"/>
      <c r="HTT54" s="1165"/>
      <c r="HTU54" s="1165"/>
      <c r="HTV54" s="1165"/>
      <c r="HTW54" s="1165"/>
      <c r="HTX54" s="1165"/>
      <c r="HTY54" s="1165"/>
      <c r="HTZ54" s="1165"/>
      <c r="HUA54" s="1165"/>
      <c r="HUB54" s="1165"/>
      <c r="HUC54" s="1165"/>
      <c r="HUD54" s="1165"/>
      <c r="HUE54" s="1165"/>
      <c r="HUF54" s="1165"/>
      <c r="HUG54" s="1165"/>
      <c r="HUH54" s="1165"/>
      <c r="HUI54" s="1165"/>
      <c r="HUJ54" s="1165"/>
      <c r="HUK54" s="1165"/>
      <c r="HUL54" s="1165"/>
      <c r="HUM54" s="1165"/>
      <c r="HUN54" s="1165"/>
      <c r="HUO54" s="1165"/>
      <c r="HUP54" s="1165"/>
      <c r="HUQ54" s="1165"/>
      <c r="HUR54" s="1165"/>
      <c r="HUS54" s="1165"/>
      <c r="HUT54" s="1165"/>
      <c r="HUU54" s="1165"/>
      <c r="HUV54" s="1165"/>
      <c r="HUW54" s="1165"/>
      <c r="HUX54" s="1165"/>
      <c r="HUY54" s="1165"/>
      <c r="HUZ54" s="1165"/>
      <c r="HVA54" s="1165"/>
      <c r="HVB54" s="1165"/>
      <c r="HVC54" s="1165"/>
      <c r="HVD54" s="1165"/>
      <c r="HVE54" s="1165"/>
      <c r="HVF54" s="1165"/>
      <c r="HVG54" s="1165"/>
      <c r="HVH54" s="1165"/>
      <c r="HVI54" s="1165"/>
      <c r="HVJ54" s="1165"/>
      <c r="HVK54" s="1165"/>
      <c r="HVL54" s="1165"/>
      <c r="HVM54" s="1165"/>
      <c r="HVN54" s="1165"/>
      <c r="HVO54" s="1165"/>
      <c r="HVP54" s="1165"/>
      <c r="HVQ54" s="1165"/>
      <c r="HVR54" s="1165"/>
      <c r="HVS54" s="1165"/>
      <c r="HVT54" s="1165"/>
      <c r="HVU54" s="1165"/>
      <c r="HVV54" s="1165"/>
      <c r="HVW54" s="1165"/>
      <c r="HVX54" s="1165"/>
      <c r="HVY54" s="1165"/>
      <c r="HVZ54" s="1165"/>
      <c r="HWA54" s="1165"/>
      <c r="HWB54" s="1165"/>
      <c r="HWC54" s="1165"/>
      <c r="HWD54" s="1165"/>
      <c r="HWE54" s="1165"/>
      <c r="HWF54" s="1165"/>
      <c r="HWG54" s="1165"/>
      <c r="HWH54" s="1165"/>
      <c r="HWI54" s="1165"/>
      <c r="HWJ54" s="1165"/>
      <c r="HWK54" s="1165"/>
      <c r="HWL54" s="1165"/>
      <c r="HWM54" s="1165"/>
      <c r="HWN54" s="1165"/>
      <c r="HWO54" s="1165"/>
      <c r="HWP54" s="1165"/>
      <c r="HWQ54" s="1165"/>
      <c r="HWR54" s="1165"/>
      <c r="HWS54" s="1165"/>
      <c r="HWT54" s="1165"/>
      <c r="HWU54" s="1165"/>
      <c r="HWV54" s="1165"/>
      <c r="HWW54" s="1165"/>
      <c r="HWX54" s="1165"/>
      <c r="HWY54" s="1165"/>
      <c r="HWZ54" s="1165"/>
      <c r="HXA54" s="1165"/>
      <c r="HXB54" s="1165"/>
      <c r="HXC54" s="1165"/>
      <c r="HXD54" s="1165"/>
      <c r="HXE54" s="1165"/>
      <c r="HXF54" s="1165"/>
      <c r="HXG54" s="1165"/>
      <c r="HXH54" s="1165"/>
      <c r="HXI54" s="1165"/>
      <c r="HXJ54" s="1165"/>
      <c r="HXK54" s="1165"/>
      <c r="HXL54" s="1165"/>
      <c r="HXM54" s="1165"/>
      <c r="HXN54" s="1165"/>
      <c r="HXO54" s="1165"/>
      <c r="HXP54" s="1165"/>
      <c r="HXQ54" s="1165"/>
      <c r="HXR54" s="1165"/>
      <c r="HXS54" s="1165"/>
      <c r="HXT54" s="1165"/>
      <c r="HXU54" s="1165"/>
      <c r="HXV54" s="1165"/>
      <c r="HXW54" s="1165"/>
      <c r="HXX54" s="1165"/>
      <c r="HXY54" s="1165"/>
      <c r="HXZ54" s="1165"/>
      <c r="HYA54" s="1165"/>
      <c r="HYB54" s="1165"/>
      <c r="HYC54" s="1165"/>
      <c r="HYD54" s="1165"/>
      <c r="HYE54" s="1165"/>
      <c r="HYF54" s="1165"/>
      <c r="HYG54" s="1165"/>
      <c r="HYH54" s="1165"/>
      <c r="HYI54" s="1165"/>
      <c r="HYJ54" s="1165"/>
      <c r="HYK54" s="1165"/>
      <c r="HYL54" s="1165"/>
      <c r="HYM54" s="1165"/>
      <c r="HYN54" s="1165"/>
      <c r="HYO54" s="1165"/>
      <c r="HYP54" s="1165"/>
      <c r="HYQ54" s="1165"/>
      <c r="HYR54" s="1165"/>
      <c r="HYS54" s="1165"/>
      <c r="HYT54" s="1165"/>
      <c r="HYU54" s="1165"/>
      <c r="HYV54" s="1165"/>
      <c r="HYW54" s="1165"/>
      <c r="HYX54" s="1165"/>
      <c r="HYY54" s="1165"/>
      <c r="HYZ54" s="1165"/>
      <c r="HZA54" s="1165"/>
      <c r="HZB54" s="1165"/>
      <c r="HZC54" s="1165"/>
      <c r="HZD54" s="1165"/>
      <c r="HZE54" s="1165"/>
      <c r="HZF54" s="1165"/>
      <c r="HZG54" s="1165"/>
      <c r="HZH54" s="1165"/>
      <c r="HZI54" s="1165"/>
      <c r="HZJ54" s="1165"/>
      <c r="HZK54" s="1165"/>
      <c r="HZL54" s="1165"/>
      <c r="HZM54" s="1165"/>
      <c r="HZN54" s="1165"/>
      <c r="HZO54" s="1165"/>
      <c r="HZP54" s="1165"/>
      <c r="HZQ54" s="1165"/>
      <c r="HZR54" s="1165"/>
      <c r="HZS54" s="1165"/>
      <c r="HZT54" s="1165"/>
      <c r="HZU54" s="1165"/>
      <c r="HZV54" s="1165"/>
      <c r="HZW54" s="1165"/>
      <c r="HZX54" s="1165"/>
      <c r="HZY54" s="1165"/>
      <c r="HZZ54" s="1165"/>
      <c r="IAA54" s="1165"/>
      <c r="IAB54" s="1165"/>
      <c r="IAC54" s="1165"/>
      <c r="IAD54" s="1165"/>
      <c r="IAE54" s="1165"/>
      <c r="IAF54" s="1165"/>
      <c r="IAG54" s="1165"/>
      <c r="IAH54" s="1165"/>
      <c r="IAI54" s="1165"/>
      <c r="IAJ54" s="1165"/>
      <c r="IAK54" s="1165"/>
      <c r="IAL54" s="1165"/>
      <c r="IAM54" s="1165"/>
      <c r="IAN54" s="1165"/>
      <c r="IAO54" s="1165"/>
      <c r="IAP54" s="1165"/>
      <c r="IAQ54" s="1165"/>
      <c r="IAR54" s="1165"/>
      <c r="IAS54" s="1165"/>
      <c r="IAT54" s="1165"/>
      <c r="IAU54" s="1165"/>
      <c r="IAV54" s="1165"/>
      <c r="IAW54" s="1165"/>
      <c r="IAX54" s="1165"/>
      <c r="IAY54" s="1165"/>
      <c r="IAZ54" s="1165"/>
      <c r="IBA54" s="1165"/>
      <c r="IBB54" s="1165"/>
      <c r="IBC54" s="1165"/>
      <c r="IBD54" s="1165"/>
      <c r="IBE54" s="1165"/>
      <c r="IBF54" s="1165"/>
      <c r="IBG54" s="1165"/>
      <c r="IBH54" s="1165"/>
      <c r="IBI54" s="1165"/>
      <c r="IBJ54" s="1165"/>
      <c r="IBK54" s="1165"/>
      <c r="IBL54" s="1165"/>
      <c r="IBM54" s="1165"/>
      <c r="IBN54" s="1165"/>
      <c r="IBO54" s="1165"/>
      <c r="IBP54" s="1165"/>
      <c r="IBQ54" s="1165"/>
      <c r="IBR54" s="1165"/>
      <c r="IBS54" s="1165"/>
      <c r="IBT54" s="1165"/>
      <c r="IBU54" s="1165"/>
      <c r="IBV54" s="1165"/>
      <c r="IBW54" s="1165"/>
      <c r="IBX54" s="1165"/>
      <c r="IBY54" s="1165"/>
      <c r="IBZ54" s="1165"/>
      <c r="ICA54" s="1165"/>
      <c r="ICB54" s="1165"/>
      <c r="ICC54" s="1165"/>
      <c r="ICD54" s="1165"/>
      <c r="ICE54" s="1165"/>
      <c r="ICF54" s="1165"/>
      <c r="ICG54" s="1165"/>
      <c r="ICH54" s="1165"/>
      <c r="ICI54" s="1165"/>
      <c r="ICJ54" s="1165"/>
      <c r="ICK54" s="1165"/>
      <c r="ICL54" s="1165"/>
      <c r="ICM54" s="1165"/>
      <c r="ICN54" s="1165"/>
      <c r="ICO54" s="1165"/>
      <c r="ICP54" s="1165"/>
      <c r="ICQ54" s="1165"/>
      <c r="ICR54" s="1165"/>
      <c r="ICS54" s="1165"/>
      <c r="ICT54" s="1165"/>
      <c r="ICU54" s="1165"/>
      <c r="ICV54" s="1165"/>
      <c r="ICW54" s="1165"/>
      <c r="ICX54" s="1165"/>
      <c r="ICY54" s="1165"/>
      <c r="ICZ54" s="1165"/>
      <c r="IDA54" s="1165"/>
      <c r="IDB54" s="1165"/>
      <c r="IDC54" s="1165"/>
      <c r="IDD54" s="1165"/>
      <c r="IDE54" s="1165"/>
      <c r="IDF54" s="1165"/>
      <c r="IDG54" s="1165"/>
      <c r="IDH54" s="1165"/>
      <c r="IDI54" s="1165"/>
      <c r="IDJ54" s="1165"/>
      <c r="IDK54" s="1165"/>
      <c r="IDL54" s="1165"/>
      <c r="IDM54" s="1165"/>
      <c r="IDN54" s="1165"/>
      <c r="IDO54" s="1165"/>
      <c r="IDP54" s="1165"/>
      <c r="IDQ54" s="1165"/>
      <c r="IDR54" s="1165"/>
      <c r="IDS54" s="1165"/>
      <c r="IDT54" s="1165"/>
      <c r="IDU54" s="1165"/>
      <c r="IDV54" s="1165"/>
      <c r="IDW54" s="1165"/>
      <c r="IDX54" s="1165"/>
      <c r="IDY54" s="1165"/>
      <c r="IDZ54" s="1165"/>
      <c r="IEA54" s="1165"/>
      <c r="IEB54" s="1165"/>
      <c r="IEC54" s="1165"/>
      <c r="IED54" s="1165"/>
      <c r="IEE54" s="1165"/>
      <c r="IEF54" s="1165"/>
      <c r="IEG54" s="1165"/>
      <c r="IEH54" s="1165"/>
      <c r="IEI54" s="1165"/>
      <c r="IEJ54" s="1165"/>
      <c r="IEK54" s="1165"/>
      <c r="IEL54" s="1165"/>
      <c r="IEM54" s="1165"/>
      <c r="IEN54" s="1165"/>
      <c r="IEO54" s="1165"/>
      <c r="IEP54" s="1165"/>
      <c r="IEQ54" s="1165"/>
      <c r="IER54" s="1165"/>
      <c r="IES54" s="1165"/>
      <c r="IET54" s="1165"/>
      <c r="IEU54" s="1165"/>
      <c r="IEV54" s="1165"/>
      <c r="IEW54" s="1165"/>
      <c r="IEX54" s="1165"/>
      <c r="IEY54" s="1165"/>
      <c r="IEZ54" s="1165"/>
      <c r="IFA54" s="1165"/>
      <c r="IFB54" s="1165"/>
      <c r="IFC54" s="1165"/>
      <c r="IFD54" s="1165"/>
      <c r="IFE54" s="1165"/>
      <c r="IFF54" s="1165"/>
      <c r="IFG54" s="1165"/>
      <c r="IFH54" s="1165"/>
      <c r="IFI54" s="1165"/>
      <c r="IFJ54" s="1165"/>
      <c r="IFK54" s="1165"/>
      <c r="IFL54" s="1165"/>
      <c r="IFM54" s="1165"/>
      <c r="IFN54" s="1165"/>
      <c r="IFO54" s="1165"/>
      <c r="IFP54" s="1165"/>
      <c r="IFQ54" s="1165"/>
      <c r="IFR54" s="1165"/>
      <c r="IFS54" s="1165"/>
      <c r="IFT54" s="1165"/>
      <c r="IFU54" s="1165"/>
      <c r="IFV54" s="1165"/>
      <c r="IFW54" s="1165"/>
      <c r="IFX54" s="1165"/>
      <c r="IFY54" s="1165"/>
      <c r="IFZ54" s="1165"/>
      <c r="IGA54" s="1165"/>
      <c r="IGB54" s="1165"/>
      <c r="IGC54" s="1165"/>
      <c r="IGD54" s="1165"/>
      <c r="IGE54" s="1165"/>
      <c r="IGF54" s="1165"/>
      <c r="IGG54" s="1165"/>
      <c r="IGH54" s="1165"/>
      <c r="IGI54" s="1165"/>
      <c r="IGJ54" s="1165"/>
      <c r="IGK54" s="1165"/>
      <c r="IGL54" s="1165"/>
      <c r="IGM54" s="1165"/>
      <c r="IGN54" s="1165"/>
      <c r="IGO54" s="1165"/>
      <c r="IGP54" s="1165"/>
      <c r="IGQ54" s="1165"/>
      <c r="IGR54" s="1165"/>
      <c r="IGS54" s="1165"/>
      <c r="IGT54" s="1165"/>
      <c r="IGU54" s="1165"/>
      <c r="IGV54" s="1165"/>
      <c r="IGW54" s="1165"/>
      <c r="IGX54" s="1165"/>
      <c r="IGY54" s="1165"/>
      <c r="IGZ54" s="1165"/>
      <c r="IHA54" s="1165"/>
      <c r="IHB54" s="1165"/>
      <c r="IHC54" s="1165"/>
      <c r="IHD54" s="1165"/>
      <c r="IHE54" s="1165"/>
      <c r="IHF54" s="1165"/>
      <c r="IHG54" s="1165"/>
      <c r="IHH54" s="1165"/>
      <c r="IHI54" s="1165"/>
      <c r="IHJ54" s="1165"/>
      <c r="IHK54" s="1165"/>
      <c r="IHL54" s="1165"/>
      <c r="IHM54" s="1165"/>
      <c r="IHN54" s="1165"/>
      <c r="IHO54" s="1165"/>
      <c r="IHP54" s="1165"/>
      <c r="IHQ54" s="1165"/>
      <c r="IHR54" s="1165"/>
      <c r="IHS54" s="1165"/>
      <c r="IHT54" s="1165"/>
      <c r="IHU54" s="1165"/>
      <c r="IHV54" s="1165"/>
      <c r="IHW54" s="1165"/>
      <c r="IHX54" s="1165"/>
      <c r="IHY54" s="1165"/>
      <c r="IHZ54" s="1165"/>
      <c r="IIA54" s="1165"/>
      <c r="IIB54" s="1165"/>
      <c r="IIC54" s="1165"/>
      <c r="IID54" s="1165"/>
      <c r="IIE54" s="1165"/>
      <c r="IIF54" s="1165"/>
      <c r="IIG54" s="1165"/>
      <c r="IIH54" s="1165"/>
      <c r="III54" s="1165"/>
      <c r="IIJ54" s="1165"/>
      <c r="IIK54" s="1165"/>
      <c r="IIL54" s="1165"/>
      <c r="IIM54" s="1165"/>
      <c r="IIN54" s="1165"/>
      <c r="IIO54" s="1165"/>
      <c r="IIP54" s="1165"/>
      <c r="IIQ54" s="1165"/>
      <c r="IIR54" s="1165"/>
      <c r="IIS54" s="1165"/>
      <c r="IIT54" s="1165"/>
      <c r="IIU54" s="1165"/>
      <c r="IIV54" s="1165"/>
      <c r="IIW54" s="1165"/>
      <c r="IIX54" s="1165"/>
      <c r="IIY54" s="1165"/>
      <c r="IIZ54" s="1165"/>
      <c r="IJA54" s="1165"/>
      <c r="IJB54" s="1165"/>
      <c r="IJC54" s="1165"/>
      <c r="IJD54" s="1165"/>
      <c r="IJE54" s="1165"/>
      <c r="IJF54" s="1165"/>
      <c r="IJG54" s="1165"/>
      <c r="IJH54" s="1165"/>
      <c r="IJI54" s="1165"/>
      <c r="IJJ54" s="1165"/>
      <c r="IJK54" s="1165"/>
      <c r="IJL54" s="1165"/>
      <c r="IJM54" s="1165"/>
      <c r="IJN54" s="1165"/>
      <c r="IJO54" s="1165"/>
      <c r="IJP54" s="1165"/>
      <c r="IJQ54" s="1165"/>
      <c r="IJR54" s="1165"/>
      <c r="IJS54" s="1165"/>
      <c r="IJT54" s="1165"/>
      <c r="IJU54" s="1165"/>
      <c r="IJV54" s="1165"/>
      <c r="IJW54" s="1165"/>
      <c r="IJX54" s="1165"/>
      <c r="IJY54" s="1165"/>
      <c r="IJZ54" s="1165"/>
      <c r="IKA54" s="1165"/>
      <c r="IKB54" s="1165"/>
      <c r="IKC54" s="1165"/>
      <c r="IKD54" s="1165"/>
      <c r="IKE54" s="1165"/>
      <c r="IKF54" s="1165"/>
      <c r="IKG54" s="1165"/>
      <c r="IKH54" s="1165"/>
      <c r="IKI54" s="1165"/>
      <c r="IKJ54" s="1165"/>
      <c r="IKK54" s="1165"/>
      <c r="IKL54" s="1165"/>
      <c r="IKM54" s="1165"/>
      <c r="IKN54" s="1165"/>
      <c r="IKO54" s="1165"/>
      <c r="IKP54" s="1165"/>
      <c r="IKQ54" s="1165"/>
      <c r="IKR54" s="1165"/>
      <c r="IKS54" s="1165"/>
      <c r="IKT54" s="1165"/>
      <c r="IKU54" s="1165"/>
      <c r="IKV54" s="1165"/>
      <c r="IKW54" s="1165"/>
      <c r="IKX54" s="1165"/>
      <c r="IKY54" s="1165"/>
      <c r="IKZ54" s="1165"/>
      <c r="ILA54" s="1165"/>
      <c r="ILB54" s="1165"/>
      <c r="ILC54" s="1165"/>
      <c r="ILD54" s="1165"/>
      <c r="ILE54" s="1165"/>
      <c r="ILF54" s="1165"/>
      <c r="ILG54" s="1165"/>
      <c r="ILH54" s="1165"/>
      <c r="ILI54" s="1165"/>
      <c r="ILJ54" s="1165"/>
      <c r="ILK54" s="1165"/>
      <c r="ILL54" s="1165"/>
      <c r="ILM54" s="1165"/>
      <c r="ILN54" s="1165"/>
      <c r="ILO54" s="1165"/>
      <c r="ILP54" s="1165"/>
      <c r="ILQ54" s="1165"/>
      <c r="ILR54" s="1165"/>
      <c r="ILS54" s="1165"/>
      <c r="ILT54" s="1165"/>
      <c r="ILU54" s="1165"/>
      <c r="ILV54" s="1165"/>
      <c r="ILW54" s="1165"/>
      <c r="ILX54" s="1165"/>
      <c r="ILY54" s="1165"/>
      <c r="ILZ54" s="1165"/>
      <c r="IMA54" s="1165"/>
      <c r="IMB54" s="1165"/>
      <c r="IMC54" s="1165"/>
      <c r="IMD54" s="1165"/>
      <c r="IME54" s="1165"/>
      <c r="IMF54" s="1165"/>
      <c r="IMG54" s="1165"/>
      <c r="IMH54" s="1165"/>
      <c r="IMI54" s="1165"/>
      <c r="IMJ54" s="1165"/>
      <c r="IMK54" s="1165"/>
      <c r="IML54" s="1165"/>
      <c r="IMM54" s="1165"/>
      <c r="IMN54" s="1165"/>
      <c r="IMO54" s="1165"/>
      <c r="IMP54" s="1165"/>
      <c r="IMQ54" s="1165"/>
      <c r="IMR54" s="1165"/>
      <c r="IMS54" s="1165"/>
      <c r="IMT54" s="1165"/>
      <c r="IMU54" s="1165"/>
      <c r="IMV54" s="1165"/>
      <c r="IMW54" s="1165"/>
      <c r="IMX54" s="1165"/>
      <c r="IMY54" s="1165"/>
      <c r="IMZ54" s="1165"/>
      <c r="INA54" s="1165"/>
      <c r="INB54" s="1165"/>
      <c r="INC54" s="1165"/>
      <c r="IND54" s="1165"/>
      <c r="INE54" s="1165"/>
      <c r="INF54" s="1165"/>
      <c r="ING54" s="1165"/>
      <c r="INH54" s="1165"/>
      <c r="INI54" s="1165"/>
      <c r="INJ54" s="1165"/>
      <c r="INK54" s="1165"/>
      <c r="INL54" s="1165"/>
      <c r="INM54" s="1165"/>
      <c r="INN54" s="1165"/>
      <c r="INO54" s="1165"/>
      <c r="INP54" s="1165"/>
      <c r="INQ54" s="1165"/>
      <c r="INR54" s="1165"/>
      <c r="INS54" s="1165"/>
      <c r="INT54" s="1165"/>
      <c r="INU54" s="1165"/>
      <c r="INV54" s="1165"/>
      <c r="INW54" s="1165"/>
      <c r="INX54" s="1165"/>
      <c r="INY54" s="1165"/>
      <c r="INZ54" s="1165"/>
      <c r="IOA54" s="1165"/>
      <c r="IOB54" s="1165"/>
      <c r="IOC54" s="1165"/>
      <c r="IOD54" s="1165"/>
      <c r="IOE54" s="1165"/>
      <c r="IOF54" s="1165"/>
      <c r="IOG54" s="1165"/>
      <c r="IOH54" s="1165"/>
      <c r="IOI54" s="1165"/>
      <c r="IOJ54" s="1165"/>
      <c r="IOK54" s="1165"/>
      <c r="IOL54" s="1165"/>
      <c r="IOM54" s="1165"/>
      <c r="ION54" s="1165"/>
      <c r="IOO54" s="1165"/>
      <c r="IOP54" s="1165"/>
      <c r="IOQ54" s="1165"/>
      <c r="IOR54" s="1165"/>
      <c r="IOS54" s="1165"/>
      <c r="IOT54" s="1165"/>
      <c r="IOU54" s="1165"/>
      <c r="IOV54" s="1165"/>
      <c r="IOW54" s="1165"/>
      <c r="IOX54" s="1165"/>
      <c r="IOY54" s="1165"/>
      <c r="IOZ54" s="1165"/>
      <c r="IPA54" s="1165"/>
      <c r="IPB54" s="1165"/>
      <c r="IPC54" s="1165"/>
      <c r="IPD54" s="1165"/>
      <c r="IPE54" s="1165"/>
      <c r="IPF54" s="1165"/>
      <c r="IPG54" s="1165"/>
      <c r="IPH54" s="1165"/>
      <c r="IPI54" s="1165"/>
      <c r="IPJ54" s="1165"/>
      <c r="IPK54" s="1165"/>
      <c r="IPL54" s="1165"/>
      <c r="IPM54" s="1165"/>
      <c r="IPN54" s="1165"/>
      <c r="IPO54" s="1165"/>
      <c r="IPP54" s="1165"/>
      <c r="IPQ54" s="1165"/>
      <c r="IPR54" s="1165"/>
      <c r="IPS54" s="1165"/>
      <c r="IPT54" s="1165"/>
      <c r="IPU54" s="1165"/>
      <c r="IPV54" s="1165"/>
      <c r="IPW54" s="1165"/>
      <c r="IPX54" s="1165"/>
      <c r="IPY54" s="1165"/>
      <c r="IPZ54" s="1165"/>
      <c r="IQA54" s="1165"/>
      <c r="IQB54" s="1165"/>
      <c r="IQC54" s="1165"/>
      <c r="IQD54" s="1165"/>
      <c r="IQE54" s="1165"/>
      <c r="IQF54" s="1165"/>
      <c r="IQG54" s="1165"/>
      <c r="IQH54" s="1165"/>
      <c r="IQI54" s="1165"/>
      <c r="IQJ54" s="1165"/>
      <c r="IQK54" s="1165"/>
      <c r="IQL54" s="1165"/>
      <c r="IQM54" s="1165"/>
      <c r="IQN54" s="1165"/>
      <c r="IQO54" s="1165"/>
      <c r="IQP54" s="1165"/>
      <c r="IQQ54" s="1165"/>
      <c r="IQR54" s="1165"/>
      <c r="IQS54" s="1165"/>
      <c r="IQT54" s="1165"/>
      <c r="IQU54" s="1165"/>
      <c r="IQV54" s="1165"/>
      <c r="IQW54" s="1165"/>
      <c r="IQX54" s="1165"/>
      <c r="IQY54" s="1165"/>
      <c r="IQZ54" s="1165"/>
      <c r="IRA54" s="1165"/>
      <c r="IRB54" s="1165"/>
      <c r="IRC54" s="1165"/>
      <c r="IRD54" s="1165"/>
      <c r="IRE54" s="1165"/>
      <c r="IRF54" s="1165"/>
      <c r="IRG54" s="1165"/>
      <c r="IRH54" s="1165"/>
      <c r="IRI54" s="1165"/>
      <c r="IRJ54" s="1165"/>
      <c r="IRK54" s="1165"/>
      <c r="IRL54" s="1165"/>
      <c r="IRM54" s="1165"/>
      <c r="IRN54" s="1165"/>
      <c r="IRO54" s="1165"/>
      <c r="IRP54" s="1165"/>
      <c r="IRQ54" s="1165"/>
      <c r="IRR54" s="1165"/>
      <c r="IRS54" s="1165"/>
      <c r="IRT54" s="1165"/>
      <c r="IRU54" s="1165"/>
      <c r="IRV54" s="1165"/>
      <c r="IRW54" s="1165"/>
      <c r="IRX54" s="1165"/>
      <c r="IRY54" s="1165"/>
      <c r="IRZ54" s="1165"/>
      <c r="ISA54" s="1165"/>
      <c r="ISB54" s="1165"/>
      <c r="ISC54" s="1165"/>
      <c r="ISD54" s="1165"/>
      <c r="ISE54" s="1165"/>
      <c r="ISF54" s="1165"/>
      <c r="ISG54" s="1165"/>
      <c r="ISH54" s="1165"/>
      <c r="ISI54" s="1165"/>
      <c r="ISJ54" s="1165"/>
      <c r="ISK54" s="1165"/>
      <c r="ISL54" s="1165"/>
      <c r="ISM54" s="1165"/>
      <c r="ISN54" s="1165"/>
      <c r="ISO54" s="1165"/>
      <c r="ISP54" s="1165"/>
      <c r="ISQ54" s="1165"/>
      <c r="ISR54" s="1165"/>
      <c r="ISS54" s="1165"/>
      <c r="IST54" s="1165"/>
      <c r="ISU54" s="1165"/>
      <c r="ISV54" s="1165"/>
      <c r="ISW54" s="1165"/>
      <c r="ISX54" s="1165"/>
      <c r="ISY54" s="1165"/>
      <c r="ISZ54" s="1165"/>
      <c r="ITA54" s="1165"/>
      <c r="ITB54" s="1165"/>
      <c r="ITC54" s="1165"/>
      <c r="ITD54" s="1165"/>
      <c r="ITE54" s="1165"/>
      <c r="ITF54" s="1165"/>
      <c r="ITG54" s="1165"/>
      <c r="ITH54" s="1165"/>
      <c r="ITI54" s="1165"/>
      <c r="ITJ54" s="1165"/>
      <c r="ITK54" s="1165"/>
      <c r="ITL54" s="1165"/>
      <c r="ITM54" s="1165"/>
      <c r="ITN54" s="1165"/>
      <c r="ITO54" s="1165"/>
      <c r="ITP54" s="1165"/>
      <c r="ITQ54" s="1165"/>
      <c r="ITR54" s="1165"/>
      <c r="ITS54" s="1165"/>
      <c r="ITT54" s="1165"/>
      <c r="ITU54" s="1165"/>
      <c r="ITV54" s="1165"/>
      <c r="ITW54" s="1165"/>
      <c r="ITX54" s="1165"/>
      <c r="ITY54" s="1165"/>
      <c r="ITZ54" s="1165"/>
      <c r="IUA54" s="1165"/>
      <c r="IUB54" s="1165"/>
      <c r="IUC54" s="1165"/>
      <c r="IUD54" s="1165"/>
      <c r="IUE54" s="1165"/>
      <c r="IUF54" s="1165"/>
      <c r="IUG54" s="1165"/>
      <c r="IUH54" s="1165"/>
      <c r="IUI54" s="1165"/>
      <c r="IUJ54" s="1165"/>
      <c r="IUK54" s="1165"/>
      <c r="IUL54" s="1165"/>
      <c r="IUM54" s="1165"/>
      <c r="IUN54" s="1165"/>
      <c r="IUO54" s="1165"/>
      <c r="IUP54" s="1165"/>
      <c r="IUQ54" s="1165"/>
      <c r="IUR54" s="1165"/>
      <c r="IUS54" s="1165"/>
      <c r="IUT54" s="1165"/>
      <c r="IUU54" s="1165"/>
      <c r="IUV54" s="1165"/>
      <c r="IUW54" s="1165"/>
      <c r="IUX54" s="1165"/>
      <c r="IUY54" s="1165"/>
      <c r="IUZ54" s="1165"/>
      <c r="IVA54" s="1165"/>
      <c r="IVB54" s="1165"/>
      <c r="IVC54" s="1165"/>
      <c r="IVD54" s="1165"/>
      <c r="IVE54" s="1165"/>
      <c r="IVF54" s="1165"/>
      <c r="IVG54" s="1165"/>
      <c r="IVH54" s="1165"/>
      <c r="IVI54" s="1165"/>
      <c r="IVJ54" s="1165"/>
      <c r="IVK54" s="1165"/>
      <c r="IVL54" s="1165"/>
      <c r="IVM54" s="1165"/>
      <c r="IVN54" s="1165"/>
      <c r="IVO54" s="1165"/>
      <c r="IVP54" s="1165"/>
      <c r="IVQ54" s="1165"/>
      <c r="IVR54" s="1165"/>
      <c r="IVS54" s="1165"/>
      <c r="IVT54" s="1165"/>
      <c r="IVU54" s="1165"/>
      <c r="IVV54" s="1165"/>
      <c r="IVW54" s="1165"/>
      <c r="IVX54" s="1165"/>
      <c r="IVY54" s="1165"/>
      <c r="IVZ54" s="1165"/>
      <c r="IWA54" s="1165"/>
      <c r="IWB54" s="1165"/>
      <c r="IWC54" s="1165"/>
      <c r="IWD54" s="1165"/>
      <c r="IWE54" s="1165"/>
      <c r="IWF54" s="1165"/>
      <c r="IWG54" s="1165"/>
      <c r="IWH54" s="1165"/>
      <c r="IWI54" s="1165"/>
      <c r="IWJ54" s="1165"/>
      <c r="IWK54" s="1165"/>
      <c r="IWL54" s="1165"/>
      <c r="IWM54" s="1165"/>
      <c r="IWN54" s="1165"/>
      <c r="IWO54" s="1165"/>
      <c r="IWP54" s="1165"/>
      <c r="IWQ54" s="1165"/>
      <c r="IWR54" s="1165"/>
      <c r="IWS54" s="1165"/>
      <c r="IWT54" s="1165"/>
      <c r="IWU54" s="1165"/>
      <c r="IWV54" s="1165"/>
      <c r="IWW54" s="1165"/>
      <c r="IWX54" s="1165"/>
      <c r="IWY54" s="1165"/>
      <c r="IWZ54" s="1165"/>
      <c r="IXA54" s="1165"/>
      <c r="IXB54" s="1165"/>
      <c r="IXC54" s="1165"/>
      <c r="IXD54" s="1165"/>
      <c r="IXE54" s="1165"/>
      <c r="IXF54" s="1165"/>
      <c r="IXG54" s="1165"/>
      <c r="IXH54" s="1165"/>
      <c r="IXI54" s="1165"/>
      <c r="IXJ54" s="1165"/>
      <c r="IXK54" s="1165"/>
      <c r="IXL54" s="1165"/>
      <c r="IXM54" s="1165"/>
      <c r="IXN54" s="1165"/>
      <c r="IXO54" s="1165"/>
      <c r="IXP54" s="1165"/>
      <c r="IXQ54" s="1165"/>
      <c r="IXR54" s="1165"/>
      <c r="IXS54" s="1165"/>
      <c r="IXT54" s="1165"/>
      <c r="IXU54" s="1165"/>
      <c r="IXV54" s="1165"/>
      <c r="IXW54" s="1165"/>
      <c r="IXX54" s="1165"/>
      <c r="IXY54" s="1165"/>
      <c r="IXZ54" s="1165"/>
      <c r="IYA54" s="1165"/>
      <c r="IYB54" s="1165"/>
      <c r="IYC54" s="1165"/>
      <c r="IYD54" s="1165"/>
      <c r="IYE54" s="1165"/>
      <c r="IYF54" s="1165"/>
      <c r="IYG54" s="1165"/>
      <c r="IYH54" s="1165"/>
      <c r="IYI54" s="1165"/>
      <c r="IYJ54" s="1165"/>
      <c r="IYK54" s="1165"/>
      <c r="IYL54" s="1165"/>
      <c r="IYM54" s="1165"/>
      <c r="IYN54" s="1165"/>
      <c r="IYO54" s="1165"/>
      <c r="IYP54" s="1165"/>
      <c r="IYQ54" s="1165"/>
      <c r="IYR54" s="1165"/>
      <c r="IYS54" s="1165"/>
      <c r="IYT54" s="1165"/>
      <c r="IYU54" s="1165"/>
      <c r="IYV54" s="1165"/>
      <c r="IYW54" s="1165"/>
      <c r="IYX54" s="1165"/>
      <c r="IYY54" s="1165"/>
      <c r="IYZ54" s="1165"/>
      <c r="IZA54" s="1165"/>
      <c r="IZB54" s="1165"/>
      <c r="IZC54" s="1165"/>
      <c r="IZD54" s="1165"/>
      <c r="IZE54" s="1165"/>
      <c r="IZF54" s="1165"/>
      <c r="IZG54" s="1165"/>
      <c r="IZH54" s="1165"/>
      <c r="IZI54" s="1165"/>
      <c r="IZJ54" s="1165"/>
      <c r="IZK54" s="1165"/>
      <c r="IZL54" s="1165"/>
      <c r="IZM54" s="1165"/>
      <c r="IZN54" s="1165"/>
      <c r="IZO54" s="1165"/>
      <c r="IZP54" s="1165"/>
      <c r="IZQ54" s="1165"/>
      <c r="IZR54" s="1165"/>
      <c r="IZS54" s="1165"/>
      <c r="IZT54" s="1165"/>
      <c r="IZU54" s="1165"/>
      <c r="IZV54" s="1165"/>
      <c r="IZW54" s="1165"/>
      <c r="IZX54" s="1165"/>
      <c r="IZY54" s="1165"/>
      <c r="IZZ54" s="1165"/>
      <c r="JAA54" s="1165"/>
      <c r="JAB54" s="1165"/>
      <c r="JAC54" s="1165"/>
      <c r="JAD54" s="1165"/>
      <c r="JAE54" s="1165"/>
      <c r="JAF54" s="1165"/>
      <c r="JAG54" s="1165"/>
      <c r="JAH54" s="1165"/>
      <c r="JAI54" s="1165"/>
      <c r="JAJ54" s="1165"/>
      <c r="JAK54" s="1165"/>
      <c r="JAL54" s="1165"/>
      <c r="JAM54" s="1165"/>
      <c r="JAN54" s="1165"/>
      <c r="JAO54" s="1165"/>
      <c r="JAP54" s="1165"/>
      <c r="JAQ54" s="1165"/>
      <c r="JAR54" s="1165"/>
      <c r="JAS54" s="1165"/>
      <c r="JAT54" s="1165"/>
      <c r="JAU54" s="1165"/>
      <c r="JAV54" s="1165"/>
      <c r="JAW54" s="1165"/>
      <c r="JAX54" s="1165"/>
      <c r="JAY54" s="1165"/>
      <c r="JAZ54" s="1165"/>
      <c r="JBA54" s="1165"/>
      <c r="JBB54" s="1165"/>
      <c r="JBC54" s="1165"/>
      <c r="JBD54" s="1165"/>
      <c r="JBE54" s="1165"/>
      <c r="JBF54" s="1165"/>
      <c r="JBG54" s="1165"/>
      <c r="JBH54" s="1165"/>
      <c r="JBI54" s="1165"/>
      <c r="JBJ54" s="1165"/>
      <c r="JBK54" s="1165"/>
      <c r="JBL54" s="1165"/>
      <c r="JBM54" s="1165"/>
      <c r="JBN54" s="1165"/>
      <c r="JBO54" s="1165"/>
      <c r="JBP54" s="1165"/>
      <c r="JBQ54" s="1165"/>
      <c r="JBR54" s="1165"/>
      <c r="JBS54" s="1165"/>
      <c r="JBT54" s="1165"/>
      <c r="JBU54" s="1165"/>
      <c r="JBV54" s="1165"/>
      <c r="JBW54" s="1165"/>
      <c r="JBX54" s="1165"/>
      <c r="JBY54" s="1165"/>
      <c r="JBZ54" s="1165"/>
      <c r="JCA54" s="1165"/>
      <c r="JCB54" s="1165"/>
      <c r="JCC54" s="1165"/>
      <c r="JCD54" s="1165"/>
      <c r="JCE54" s="1165"/>
      <c r="JCF54" s="1165"/>
      <c r="JCG54" s="1165"/>
      <c r="JCH54" s="1165"/>
      <c r="JCI54" s="1165"/>
      <c r="JCJ54" s="1165"/>
      <c r="JCK54" s="1165"/>
      <c r="JCL54" s="1165"/>
      <c r="JCM54" s="1165"/>
      <c r="JCN54" s="1165"/>
      <c r="JCO54" s="1165"/>
      <c r="JCP54" s="1165"/>
      <c r="JCQ54" s="1165"/>
      <c r="JCR54" s="1165"/>
      <c r="JCS54" s="1165"/>
      <c r="JCT54" s="1165"/>
      <c r="JCU54" s="1165"/>
      <c r="JCV54" s="1165"/>
      <c r="JCW54" s="1165"/>
      <c r="JCX54" s="1165"/>
      <c r="JCY54" s="1165"/>
      <c r="JCZ54" s="1165"/>
      <c r="JDA54" s="1165"/>
      <c r="JDB54" s="1165"/>
      <c r="JDC54" s="1165"/>
      <c r="JDD54" s="1165"/>
      <c r="JDE54" s="1165"/>
      <c r="JDF54" s="1165"/>
      <c r="JDG54" s="1165"/>
      <c r="JDH54" s="1165"/>
      <c r="JDI54" s="1165"/>
      <c r="JDJ54" s="1165"/>
      <c r="JDK54" s="1165"/>
      <c r="JDL54" s="1165"/>
      <c r="JDM54" s="1165"/>
      <c r="JDN54" s="1165"/>
      <c r="JDO54" s="1165"/>
      <c r="JDP54" s="1165"/>
      <c r="JDQ54" s="1165"/>
      <c r="JDR54" s="1165"/>
      <c r="JDS54" s="1165"/>
      <c r="JDT54" s="1165"/>
      <c r="JDU54" s="1165"/>
      <c r="JDV54" s="1165"/>
      <c r="JDW54" s="1165"/>
      <c r="JDX54" s="1165"/>
      <c r="JDY54" s="1165"/>
      <c r="JDZ54" s="1165"/>
      <c r="JEA54" s="1165"/>
      <c r="JEB54" s="1165"/>
      <c r="JEC54" s="1165"/>
      <c r="JED54" s="1165"/>
      <c r="JEE54" s="1165"/>
      <c r="JEF54" s="1165"/>
      <c r="JEG54" s="1165"/>
      <c r="JEH54" s="1165"/>
      <c r="JEI54" s="1165"/>
      <c r="JEJ54" s="1165"/>
      <c r="JEK54" s="1165"/>
      <c r="JEL54" s="1165"/>
      <c r="JEM54" s="1165"/>
      <c r="JEN54" s="1165"/>
      <c r="JEO54" s="1165"/>
      <c r="JEP54" s="1165"/>
      <c r="JEQ54" s="1165"/>
      <c r="JER54" s="1165"/>
      <c r="JES54" s="1165"/>
      <c r="JET54" s="1165"/>
      <c r="JEU54" s="1165"/>
      <c r="JEV54" s="1165"/>
      <c r="JEW54" s="1165"/>
      <c r="JEX54" s="1165"/>
      <c r="JEY54" s="1165"/>
      <c r="JEZ54" s="1165"/>
      <c r="JFA54" s="1165"/>
      <c r="JFB54" s="1165"/>
      <c r="JFC54" s="1165"/>
      <c r="JFD54" s="1165"/>
      <c r="JFE54" s="1165"/>
      <c r="JFF54" s="1165"/>
      <c r="JFG54" s="1165"/>
      <c r="JFH54" s="1165"/>
      <c r="JFI54" s="1165"/>
      <c r="JFJ54" s="1165"/>
      <c r="JFK54" s="1165"/>
      <c r="JFL54" s="1165"/>
      <c r="JFM54" s="1165"/>
      <c r="JFN54" s="1165"/>
      <c r="JFO54" s="1165"/>
      <c r="JFP54" s="1165"/>
      <c r="JFQ54" s="1165"/>
      <c r="JFR54" s="1165"/>
      <c r="JFS54" s="1165"/>
      <c r="JFT54" s="1165"/>
      <c r="JFU54" s="1165"/>
      <c r="JFV54" s="1165"/>
      <c r="JFW54" s="1165"/>
      <c r="JFX54" s="1165"/>
      <c r="JFY54" s="1165"/>
      <c r="JFZ54" s="1165"/>
      <c r="JGA54" s="1165"/>
      <c r="JGB54" s="1165"/>
      <c r="JGC54" s="1165"/>
      <c r="JGD54" s="1165"/>
      <c r="JGE54" s="1165"/>
      <c r="JGF54" s="1165"/>
      <c r="JGG54" s="1165"/>
      <c r="JGH54" s="1165"/>
      <c r="JGI54" s="1165"/>
      <c r="JGJ54" s="1165"/>
      <c r="JGK54" s="1165"/>
      <c r="JGL54" s="1165"/>
      <c r="JGM54" s="1165"/>
      <c r="JGN54" s="1165"/>
      <c r="JGO54" s="1165"/>
      <c r="JGP54" s="1165"/>
      <c r="JGQ54" s="1165"/>
      <c r="JGR54" s="1165"/>
      <c r="JGS54" s="1165"/>
      <c r="JGT54" s="1165"/>
      <c r="JGU54" s="1165"/>
      <c r="JGV54" s="1165"/>
      <c r="JGW54" s="1165"/>
      <c r="JGX54" s="1165"/>
      <c r="JGY54" s="1165"/>
      <c r="JGZ54" s="1165"/>
      <c r="JHA54" s="1165"/>
      <c r="JHB54" s="1165"/>
      <c r="JHC54" s="1165"/>
      <c r="JHD54" s="1165"/>
      <c r="JHE54" s="1165"/>
      <c r="JHF54" s="1165"/>
      <c r="JHG54" s="1165"/>
      <c r="JHH54" s="1165"/>
      <c r="JHI54" s="1165"/>
      <c r="JHJ54" s="1165"/>
      <c r="JHK54" s="1165"/>
      <c r="JHL54" s="1165"/>
      <c r="JHM54" s="1165"/>
      <c r="JHN54" s="1165"/>
      <c r="JHO54" s="1165"/>
      <c r="JHP54" s="1165"/>
      <c r="JHQ54" s="1165"/>
      <c r="JHR54" s="1165"/>
      <c r="JHS54" s="1165"/>
      <c r="JHT54" s="1165"/>
      <c r="JHU54" s="1165"/>
      <c r="JHV54" s="1165"/>
      <c r="JHW54" s="1165"/>
      <c r="JHX54" s="1165"/>
      <c r="JHY54" s="1165"/>
      <c r="JHZ54" s="1165"/>
      <c r="JIA54" s="1165"/>
      <c r="JIB54" s="1165"/>
      <c r="JIC54" s="1165"/>
      <c r="JID54" s="1165"/>
      <c r="JIE54" s="1165"/>
      <c r="JIF54" s="1165"/>
      <c r="JIG54" s="1165"/>
      <c r="JIH54" s="1165"/>
      <c r="JII54" s="1165"/>
      <c r="JIJ54" s="1165"/>
      <c r="JIK54" s="1165"/>
      <c r="JIL54" s="1165"/>
      <c r="JIM54" s="1165"/>
      <c r="JIN54" s="1165"/>
      <c r="JIO54" s="1165"/>
      <c r="JIP54" s="1165"/>
      <c r="JIQ54" s="1165"/>
      <c r="JIR54" s="1165"/>
      <c r="JIS54" s="1165"/>
      <c r="JIT54" s="1165"/>
      <c r="JIU54" s="1165"/>
      <c r="JIV54" s="1165"/>
      <c r="JIW54" s="1165"/>
      <c r="JIX54" s="1165"/>
      <c r="JIY54" s="1165"/>
      <c r="JIZ54" s="1165"/>
      <c r="JJA54" s="1165"/>
      <c r="JJB54" s="1165"/>
      <c r="JJC54" s="1165"/>
      <c r="JJD54" s="1165"/>
      <c r="JJE54" s="1165"/>
      <c r="JJF54" s="1165"/>
      <c r="JJG54" s="1165"/>
      <c r="JJH54" s="1165"/>
      <c r="JJI54" s="1165"/>
      <c r="JJJ54" s="1165"/>
      <c r="JJK54" s="1165"/>
      <c r="JJL54" s="1165"/>
      <c r="JJM54" s="1165"/>
      <c r="JJN54" s="1165"/>
      <c r="JJO54" s="1165"/>
      <c r="JJP54" s="1165"/>
      <c r="JJQ54" s="1165"/>
      <c r="JJR54" s="1165"/>
      <c r="JJS54" s="1165"/>
      <c r="JJT54" s="1165"/>
      <c r="JJU54" s="1165"/>
      <c r="JJV54" s="1165"/>
      <c r="JJW54" s="1165"/>
      <c r="JJX54" s="1165"/>
      <c r="JJY54" s="1165"/>
      <c r="JJZ54" s="1165"/>
      <c r="JKA54" s="1165"/>
      <c r="JKB54" s="1165"/>
      <c r="JKC54" s="1165"/>
      <c r="JKD54" s="1165"/>
      <c r="JKE54" s="1165"/>
      <c r="JKF54" s="1165"/>
      <c r="JKG54" s="1165"/>
      <c r="JKH54" s="1165"/>
      <c r="JKI54" s="1165"/>
      <c r="JKJ54" s="1165"/>
      <c r="JKK54" s="1165"/>
      <c r="JKL54" s="1165"/>
      <c r="JKM54" s="1165"/>
      <c r="JKN54" s="1165"/>
      <c r="JKO54" s="1165"/>
      <c r="JKP54" s="1165"/>
      <c r="JKQ54" s="1165"/>
      <c r="JKR54" s="1165"/>
      <c r="JKS54" s="1165"/>
      <c r="JKT54" s="1165"/>
      <c r="JKU54" s="1165"/>
      <c r="JKV54" s="1165"/>
      <c r="JKW54" s="1165"/>
      <c r="JKX54" s="1165"/>
      <c r="JKY54" s="1165"/>
      <c r="JKZ54" s="1165"/>
      <c r="JLA54" s="1165"/>
      <c r="JLB54" s="1165"/>
      <c r="JLC54" s="1165"/>
      <c r="JLD54" s="1165"/>
      <c r="JLE54" s="1165"/>
      <c r="JLF54" s="1165"/>
      <c r="JLG54" s="1165"/>
      <c r="JLH54" s="1165"/>
      <c r="JLI54" s="1165"/>
      <c r="JLJ54" s="1165"/>
      <c r="JLK54" s="1165"/>
      <c r="JLL54" s="1165"/>
      <c r="JLM54" s="1165"/>
      <c r="JLN54" s="1165"/>
      <c r="JLO54" s="1165"/>
      <c r="JLP54" s="1165"/>
      <c r="JLQ54" s="1165"/>
      <c r="JLR54" s="1165"/>
      <c r="JLS54" s="1165"/>
      <c r="JLT54" s="1165"/>
      <c r="JLU54" s="1165"/>
      <c r="JLV54" s="1165"/>
      <c r="JLW54" s="1165"/>
      <c r="JLX54" s="1165"/>
      <c r="JLY54" s="1165"/>
      <c r="JLZ54" s="1165"/>
      <c r="JMA54" s="1165"/>
      <c r="JMB54" s="1165"/>
      <c r="JMC54" s="1165"/>
      <c r="JMD54" s="1165"/>
      <c r="JME54" s="1165"/>
      <c r="JMF54" s="1165"/>
      <c r="JMG54" s="1165"/>
      <c r="JMH54" s="1165"/>
      <c r="JMI54" s="1165"/>
      <c r="JMJ54" s="1165"/>
      <c r="JMK54" s="1165"/>
      <c r="JML54" s="1165"/>
      <c r="JMM54" s="1165"/>
      <c r="JMN54" s="1165"/>
      <c r="JMO54" s="1165"/>
      <c r="JMP54" s="1165"/>
      <c r="JMQ54" s="1165"/>
      <c r="JMR54" s="1165"/>
      <c r="JMS54" s="1165"/>
      <c r="JMT54" s="1165"/>
      <c r="JMU54" s="1165"/>
      <c r="JMV54" s="1165"/>
      <c r="JMW54" s="1165"/>
      <c r="JMX54" s="1165"/>
      <c r="JMY54" s="1165"/>
      <c r="JMZ54" s="1165"/>
      <c r="JNA54" s="1165"/>
      <c r="JNB54" s="1165"/>
      <c r="JNC54" s="1165"/>
      <c r="JND54" s="1165"/>
      <c r="JNE54" s="1165"/>
      <c r="JNF54" s="1165"/>
      <c r="JNG54" s="1165"/>
      <c r="JNH54" s="1165"/>
      <c r="JNI54" s="1165"/>
      <c r="JNJ54" s="1165"/>
      <c r="JNK54" s="1165"/>
      <c r="JNL54" s="1165"/>
      <c r="JNM54" s="1165"/>
      <c r="JNN54" s="1165"/>
      <c r="JNO54" s="1165"/>
      <c r="JNP54" s="1165"/>
      <c r="JNQ54" s="1165"/>
      <c r="JNR54" s="1165"/>
      <c r="JNS54" s="1165"/>
      <c r="JNT54" s="1165"/>
      <c r="JNU54" s="1165"/>
      <c r="JNV54" s="1165"/>
      <c r="JNW54" s="1165"/>
      <c r="JNX54" s="1165"/>
      <c r="JNY54" s="1165"/>
      <c r="JNZ54" s="1165"/>
      <c r="JOA54" s="1165"/>
      <c r="JOB54" s="1165"/>
      <c r="JOC54" s="1165"/>
      <c r="JOD54" s="1165"/>
      <c r="JOE54" s="1165"/>
      <c r="JOF54" s="1165"/>
      <c r="JOG54" s="1165"/>
      <c r="JOH54" s="1165"/>
      <c r="JOI54" s="1165"/>
      <c r="JOJ54" s="1165"/>
      <c r="JOK54" s="1165"/>
      <c r="JOL54" s="1165"/>
      <c r="JOM54" s="1165"/>
      <c r="JON54" s="1165"/>
      <c r="JOO54" s="1165"/>
      <c r="JOP54" s="1165"/>
      <c r="JOQ54" s="1165"/>
      <c r="JOR54" s="1165"/>
      <c r="JOS54" s="1165"/>
      <c r="JOT54" s="1165"/>
      <c r="JOU54" s="1165"/>
      <c r="JOV54" s="1165"/>
      <c r="JOW54" s="1165"/>
      <c r="JOX54" s="1165"/>
      <c r="JOY54" s="1165"/>
      <c r="JOZ54" s="1165"/>
      <c r="JPA54" s="1165"/>
      <c r="JPB54" s="1165"/>
      <c r="JPC54" s="1165"/>
      <c r="JPD54" s="1165"/>
      <c r="JPE54" s="1165"/>
      <c r="JPF54" s="1165"/>
      <c r="JPG54" s="1165"/>
      <c r="JPH54" s="1165"/>
      <c r="JPI54" s="1165"/>
      <c r="JPJ54" s="1165"/>
      <c r="JPK54" s="1165"/>
      <c r="JPL54" s="1165"/>
      <c r="JPM54" s="1165"/>
      <c r="JPN54" s="1165"/>
      <c r="JPO54" s="1165"/>
      <c r="JPP54" s="1165"/>
      <c r="JPQ54" s="1165"/>
      <c r="JPR54" s="1165"/>
      <c r="JPS54" s="1165"/>
      <c r="JPT54" s="1165"/>
      <c r="JPU54" s="1165"/>
      <c r="JPV54" s="1165"/>
      <c r="JPW54" s="1165"/>
      <c r="JPX54" s="1165"/>
      <c r="JPY54" s="1165"/>
      <c r="JPZ54" s="1165"/>
      <c r="JQA54" s="1165"/>
      <c r="JQB54" s="1165"/>
      <c r="JQC54" s="1165"/>
      <c r="JQD54" s="1165"/>
      <c r="JQE54" s="1165"/>
      <c r="JQF54" s="1165"/>
      <c r="JQG54" s="1165"/>
      <c r="JQH54" s="1165"/>
      <c r="JQI54" s="1165"/>
      <c r="JQJ54" s="1165"/>
      <c r="JQK54" s="1165"/>
      <c r="JQL54" s="1165"/>
      <c r="JQM54" s="1165"/>
      <c r="JQN54" s="1165"/>
      <c r="JQO54" s="1165"/>
      <c r="JQP54" s="1165"/>
      <c r="JQQ54" s="1165"/>
      <c r="JQR54" s="1165"/>
      <c r="JQS54" s="1165"/>
      <c r="JQT54" s="1165"/>
      <c r="JQU54" s="1165"/>
      <c r="JQV54" s="1165"/>
      <c r="JQW54" s="1165"/>
      <c r="JQX54" s="1165"/>
      <c r="JQY54" s="1165"/>
      <c r="JQZ54" s="1165"/>
      <c r="JRA54" s="1165"/>
      <c r="JRB54" s="1165"/>
      <c r="JRC54" s="1165"/>
      <c r="JRD54" s="1165"/>
      <c r="JRE54" s="1165"/>
      <c r="JRF54" s="1165"/>
      <c r="JRG54" s="1165"/>
      <c r="JRH54" s="1165"/>
      <c r="JRI54" s="1165"/>
      <c r="JRJ54" s="1165"/>
      <c r="JRK54" s="1165"/>
      <c r="JRL54" s="1165"/>
      <c r="JRM54" s="1165"/>
      <c r="JRN54" s="1165"/>
      <c r="JRO54" s="1165"/>
      <c r="JRP54" s="1165"/>
      <c r="JRQ54" s="1165"/>
      <c r="JRR54" s="1165"/>
      <c r="JRS54" s="1165"/>
      <c r="JRT54" s="1165"/>
      <c r="JRU54" s="1165"/>
      <c r="JRV54" s="1165"/>
      <c r="JRW54" s="1165"/>
      <c r="JRX54" s="1165"/>
      <c r="JRY54" s="1165"/>
      <c r="JRZ54" s="1165"/>
      <c r="JSA54" s="1165"/>
      <c r="JSB54" s="1165"/>
      <c r="JSC54" s="1165"/>
      <c r="JSD54" s="1165"/>
      <c r="JSE54" s="1165"/>
      <c r="JSF54" s="1165"/>
      <c r="JSG54" s="1165"/>
      <c r="JSH54" s="1165"/>
      <c r="JSI54" s="1165"/>
      <c r="JSJ54" s="1165"/>
      <c r="JSK54" s="1165"/>
      <c r="JSL54" s="1165"/>
      <c r="JSM54" s="1165"/>
      <c r="JSN54" s="1165"/>
      <c r="JSO54" s="1165"/>
      <c r="JSP54" s="1165"/>
      <c r="JSQ54" s="1165"/>
      <c r="JSR54" s="1165"/>
      <c r="JSS54" s="1165"/>
      <c r="JST54" s="1165"/>
      <c r="JSU54" s="1165"/>
      <c r="JSV54" s="1165"/>
      <c r="JSW54" s="1165"/>
      <c r="JSX54" s="1165"/>
      <c r="JSY54" s="1165"/>
      <c r="JSZ54" s="1165"/>
      <c r="JTA54" s="1165"/>
      <c r="JTB54" s="1165"/>
      <c r="JTC54" s="1165"/>
      <c r="JTD54" s="1165"/>
      <c r="JTE54" s="1165"/>
      <c r="JTF54" s="1165"/>
      <c r="JTG54" s="1165"/>
      <c r="JTH54" s="1165"/>
      <c r="JTI54" s="1165"/>
      <c r="JTJ54" s="1165"/>
      <c r="JTK54" s="1165"/>
      <c r="JTL54" s="1165"/>
      <c r="JTM54" s="1165"/>
      <c r="JTN54" s="1165"/>
      <c r="JTO54" s="1165"/>
      <c r="JTP54" s="1165"/>
      <c r="JTQ54" s="1165"/>
      <c r="JTR54" s="1165"/>
      <c r="JTS54" s="1165"/>
      <c r="JTT54" s="1165"/>
      <c r="JTU54" s="1165"/>
      <c r="JTV54" s="1165"/>
      <c r="JTW54" s="1165"/>
      <c r="JTX54" s="1165"/>
      <c r="JTY54" s="1165"/>
      <c r="JTZ54" s="1165"/>
      <c r="JUA54" s="1165"/>
      <c r="JUB54" s="1165"/>
      <c r="JUC54" s="1165"/>
      <c r="JUD54" s="1165"/>
      <c r="JUE54" s="1165"/>
      <c r="JUF54" s="1165"/>
      <c r="JUG54" s="1165"/>
      <c r="JUH54" s="1165"/>
      <c r="JUI54" s="1165"/>
      <c r="JUJ54" s="1165"/>
      <c r="JUK54" s="1165"/>
      <c r="JUL54" s="1165"/>
      <c r="JUM54" s="1165"/>
      <c r="JUN54" s="1165"/>
      <c r="JUO54" s="1165"/>
      <c r="JUP54" s="1165"/>
      <c r="JUQ54" s="1165"/>
      <c r="JUR54" s="1165"/>
      <c r="JUS54" s="1165"/>
      <c r="JUT54" s="1165"/>
      <c r="JUU54" s="1165"/>
      <c r="JUV54" s="1165"/>
      <c r="JUW54" s="1165"/>
      <c r="JUX54" s="1165"/>
      <c r="JUY54" s="1165"/>
      <c r="JUZ54" s="1165"/>
      <c r="JVA54" s="1165"/>
      <c r="JVB54" s="1165"/>
      <c r="JVC54" s="1165"/>
      <c r="JVD54" s="1165"/>
      <c r="JVE54" s="1165"/>
      <c r="JVF54" s="1165"/>
      <c r="JVG54" s="1165"/>
      <c r="JVH54" s="1165"/>
      <c r="JVI54" s="1165"/>
      <c r="JVJ54" s="1165"/>
      <c r="JVK54" s="1165"/>
      <c r="JVL54" s="1165"/>
      <c r="JVM54" s="1165"/>
      <c r="JVN54" s="1165"/>
      <c r="JVO54" s="1165"/>
      <c r="JVP54" s="1165"/>
      <c r="JVQ54" s="1165"/>
      <c r="JVR54" s="1165"/>
      <c r="JVS54" s="1165"/>
      <c r="JVT54" s="1165"/>
      <c r="JVU54" s="1165"/>
      <c r="JVV54" s="1165"/>
      <c r="JVW54" s="1165"/>
      <c r="JVX54" s="1165"/>
      <c r="JVY54" s="1165"/>
      <c r="JVZ54" s="1165"/>
      <c r="JWA54" s="1165"/>
      <c r="JWB54" s="1165"/>
      <c r="JWC54" s="1165"/>
      <c r="JWD54" s="1165"/>
      <c r="JWE54" s="1165"/>
      <c r="JWF54" s="1165"/>
      <c r="JWG54" s="1165"/>
      <c r="JWH54" s="1165"/>
      <c r="JWI54" s="1165"/>
      <c r="JWJ54" s="1165"/>
      <c r="JWK54" s="1165"/>
      <c r="JWL54" s="1165"/>
      <c r="JWM54" s="1165"/>
      <c r="JWN54" s="1165"/>
      <c r="JWO54" s="1165"/>
      <c r="JWP54" s="1165"/>
      <c r="JWQ54" s="1165"/>
      <c r="JWR54" s="1165"/>
      <c r="JWS54" s="1165"/>
      <c r="JWT54" s="1165"/>
      <c r="JWU54" s="1165"/>
      <c r="JWV54" s="1165"/>
      <c r="JWW54" s="1165"/>
      <c r="JWX54" s="1165"/>
      <c r="JWY54" s="1165"/>
      <c r="JWZ54" s="1165"/>
      <c r="JXA54" s="1165"/>
      <c r="JXB54" s="1165"/>
      <c r="JXC54" s="1165"/>
      <c r="JXD54" s="1165"/>
      <c r="JXE54" s="1165"/>
      <c r="JXF54" s="1165"/>
      <c r="JXG54" s="1165"/>
      <c r="JXH54" s="1165"/>
      <c r="JXI54" s="1165"/>
      <c r="JXJ54" s="1165"/>
      <c r="JXK54" s="1165"/>
      <c r="JXL54" s="1165"/>
      <c r="JXM54" s="1165"/>
      <c r="JXN54" s="1165"/>
      <c r="JXO54" s="1165"/>
      <c r="JXP54" s="1165"/>
      <c r="JXQ54" s="1165"/>
      <c r="JXR54" s="1165"/>
      <c r="JXS54" s="1165"/>
      <c r="JXT54" s="1165"/>
      <c r="JXU54" s="1165"/>
      <c r="JXV54" s="1165"/>
      <c r="JXW54" s="1165"/>
      <c r="JXX54" s="1165"/>
      <c r="JXY54" s="1165"/>
      <c r="JXZ54" s="1165"/>
      <c r="JYA54" s="1165"/>
      <c r="JYB54" s="1165"/>
      <c r="JYC54" s="1165"/>
      <c r="JYD54" s="1165"/>
      <c r="JYE54" s="1165"/>
      <c r="JYF54" s="1165"/>
      <c r="JYG54" s="1165"/>
      <c r="JYH54" s="1165"/>
      <c r="JYI54" s="1165"/>
      <c r="JYJ54" s="1165"/>
      <c r="JYK54" s="1165"/>
      <c r="JYL54" s="1165"/>
      <c r="JYM54" s="1165"/>
      <c r="JYN54" s="1165"/>
      <c r="JYO54" s="1165"/>
      <c r="JYP54" s="1165"/>
      <c r="JYQ54" s="1165"/>
      <c r="JYR54" s="1165"/>
      <c r="JYS54" s="1165"/>
      <c r="JYT54" s="1165"/>
      <c r="JYU54" s="1165"/>
      <c r="JYV54" s="1165"/>
      <c r="JYW54" s="1165"/>
      <c r="JYX54" s="1165"/>
      <c r="JYY54" s="1165"/>
      <c r="JYZ54" s="1165"/>
      <c r="JZA54" s="1165"/>
      <c r="JZB54" s="1165"/>
      <c r="JZC54" s="1165"/>
      <c r="JZD54" s="1165"/>
      <c r="JZE54" s="1165"/>
      <c r="JZF54" s="1165"/>
      <c r="JZG54" s="1165"/>
      <c r="JZH54" s="1165"/>
      <c r="JZI54" s="1165"/>
      <c r="JZJ54" s="1165"/>
      <c r="JZK54" s="1165"/>
      <c r="JZL54" s="1165"/>
      <c r="JZM54" s="1165"/>
      <c r="JZN54" s="1165"/>
      <c r="JZO54" s="1165"/>
      <c r="JZP54" s="1165"/>
      <c r="JZQ54" s="1165"/>
      <c r="JZR54" s="1165"/>
      <c r="JZS54" s="1165"/>
      <c r="JZT54" s="1165"/>
      <c r="JZU54" s="1165"/>
      <c r="JZV54" s="1165"/>
      <c r="JZW54" s="1165"/>
      <c r="JZX54" s="1165"/>
      <c r="JZY54" s="1165"/>
      <c r="JZZ54" s="1165"/>
      <c r="KAA54" s="1165"/>
      <c r="KAB54" s="1165"/>
      <c r="KAC54" s="1165"/>
      <c r="KAD54" s="1165"/>
      <c r="KAE54" s="1165"/>
      <c r="KAF54" s="1165"/>
      <c r="KAG54" s="1165"/>
      <c r="KAH54" s="1165"/>
      <c r="KAI54" s="1165"/>
      <c r="KAJ54" s="1165"/>
      <c r="KAK54" s="1165"/>
      <c r="KAL54" s="1165"/>
      <c r="KAM54" s="1165"/>
      <c r="KAN54" s="1165"/>
      <c r="KAO54" s="1165"/>
      <c r="KAP54" s="1165"/>
      <c r="KAQ54" s="1165"/>
      <c r="KAR54" s="1165"/>
      <c r="KAS54" s="1165"/>
      <c r="KAT54" s="1165"/>
      <c r="KAU54" s="1165"/>
      <c r="KAV54" s="1165"/>
      <c r="KAW54" s="1165"/>
      <c r="KAX54" s="1165"/>
      <c r="KAY54" s="1165"/>
      <c r="KAZ54" s="1165"/>
      <c r="KBA54" s="1165"/>
      <c r="KBB54" s="1165"/>
      <c r="KBC54" s="1165"/>
      <c r="KBD54" s="1165"/>
      <c r="KBE54" s="1165"/>
      <c r="KBF54" s="1165"/>
      <c r="KBG54" s="1165"/>
      <c r="KBH54" s="1165"/>
      <c r="KBI54" s="1165"/>
      <c r="KBJ54" s="1165"/>
      <c r="KBK54" s="1165"/>
      <c r="KBL54" s="1165"/>
      <c r="KBM54" s="1165"/>
      <c r="KBN54" s="1165"/>
      <c r="KBO54" s="1165"/>
      <c r="KBP54" s="1165"/>
      <c r="KBQ54" s="1165"/>
      <c r="KBR54" s="1165"/>
      <c r="KBS54" s="1165"/>
      <c r="KBT54" s="1165"/>
      <c r="KBU54" s="1165"/>
      <c r="KBV54" s="1165"/>
      <c r="KBW54" s="1165"/>
      <c r="KBX54" s="1165"/>
      <c r="KBY54" s="1165"/>
      <c r="KBZ54" s="1165"/>
      <c r="KCA54" s="1165"/>
      <c r="KCB54" s="1165"/>
      <c r="KCC54" s="1165"/>
      <c r="KCD54" s="1165"/>
      <c r="KCE54" s="1165"/>
      <c r="KCF54" s="1165"/>
      <c r="KCG54" s="1165"/>
      <c r="KCH54" s="1165"/>
      <c r="KCI54" s="1165"/>
      <c r="KCJ54" s="1165"/>
      <c r="KCK54" s="1165"/>
      <c r="KCL54" s="1165"/>
      <c r="KCM54" s="1165"/>
      <c r="KCN54" s="1165"/>
      <c r="KCO54" s="1165"/>
      <c r="KCP54" s="1165"/>
      <c r="KCQ54" s="1165"/>
      <c r="KCR54" s="1165"/>
      <c r="KCS54" s="1165"/>
      <c r="KCT54" s="1165"/>
      <c r="KCU54" s="1165"/>
      <c r="KCV54" s="1165"/>
      <c r="KCW54" s="1165"/>
      <c r="KCX54" s="1165"/>
      <c r="KCY54" s="1165"/>
      <c r="KCZ54" s="1165"/>
      <c r="KDA54" s="1165"/>
      <c r="KDB54" s="1165"/>
      <c r="KDC54" s="1165"/>
      <c r="KDD54" s="1165"/>
      <c r="KDE54" s="1165"/>
      <c r="KDF54" s="1165"/>
      <c r="KDG54" s="1165"/>
      <c r="KDH54" s="1165"/>
      <c r="KDI54" s="1165"/>
      <c r="KDJ54" s="1165"/>
      <c r="KDK54" s="1165"/>
      <c r="KDL54" s="1165"/>
      <c r="KDM54" s="1165"/>
      <c r="KDN54" s="1165"/>
      <c r="KDO54" s="1165"/>
      <c r="KDP54" s="1165"/>
      <c r="KDQ54" s="1165"/>
      <c r="KDR54" s="1165"/>
      <c r="KDS54" s="1165"/>
      <c r="KDT54" s="1165"/>
      <c r="KDU54" s="1165"/>
      <c r="KDV54" s="1165"/>
      <c r="KDW54" s="1165"/>
      <c r="KDX54" s="1165"/>
      <c r="KDY54" s="1165"/>
      <c r="KDZ54" s="1165"/>
      <c r="KEA54" s="1165"/>
      <c r="KEB54" s="1165"/>
      <c r="KEC54" s="1165"/>
      <c r="KED54" s="1165"/>
      <c r="KEE54" s="1165"/>
      <c r="KEF54" s="1165"/>
      <c r="KEG54" s="1165"/>
      <c r="KEH54" s="1165"/>
      <c r="KEI54" s="1165"/>
      <c r="KEJ54" s="1165"/>
      <c r="KEK54" s="1165"/>
      <c r="KEL54" s="1165"/>
      <c r="KEM54" s="1165"/>
      <c r="KEN54" s="1165"/>
      <c r="KEO54" s="1165"/>
      <c r="KEP54" s="1165"/>
      <c r="KEQ54" s="1165"/>
      <c r="KER54" s="1165"/>
      <c r="KES54" s="1165"/>
      <c r="KET54" s="1165"/>
      <c r="KEU54" s="1165"/>
      <c r="KEV54" s="1165"/>
      <c r="KEW54" s="1165"/>
      <c r="KEX54" s="1165"/>
      <c r="KEY54" s="1165"/>
      <c r="KEZ54" s="1165"/>
      <c r="KFA54" s="1165"/>
      <c r="KFB54" s="1165"/>
      <c r="KFC54" s="1165"/>
      <c r="KFD54" s="1165"/>
      <c r="KFE54" s="1165"/>
      <c r="KFF54" s="1165"/>
      <c r="KFG54" s="1165"/>
      <c r="KFH54" s="1165"/>
      <c r="KFI54" s="1165"/>
      <c r="KFJ54" s="1165"/>
      <c r="KFK54" s="1165"/>
      <c r="KFL54" s="1165"/>
      <c r="KFM54" s="1165"/>
      <c r="KFN54" s="1165"/>
      <c r="KFO54" s="1165"/>
      <c r="KFP54" s="1165"/>
      <c r="KFQ54" s="1165"/>
      <c r="KFR54" s="1165"/>
      <c r="KFS54" s="1165"/>
      <c r="KFT54" s="1165"/>
      <c r="KFU54" s="1165"/>
      <c r="KFV54" s="1165"/>
      <c r="KFW54" s="1165"/>
      <c r="KFX54" s="1165"/>
      <c r="KFY54" s="1165"/>
      <c r="KFZ54" s="1165"/>
      <c r="KGA54" s="1165"/>
      <c r="KGB54" s="1165"/>
      <c r="KGC54" s="1165"/>
      <c r="KGD54" s="1165"/>
      <c r="KGE54" s="1165"/>
      <c r="KGF54" s="1165"/>
      <c r="KGG54" s="1165"/>
      <c r="KGH54" s="1165"/>
      <c r="KGI54" s="1165"/>
      <c r="KGJ54" s="1165"/>
      <c r="KGK54" s="1165"/>
      <c r="KGL54" s="1165"/>
      <c r="KGM54" s="1165"/>
      <c r="KGN54" s="1165"/>
      <c r="KGO54" s="1165"/>
      <c r="KGP54" s="1165"/>
      <c r="KGQ54" s="1165"/>
      <c r="KGR54" s="1165"/>
      <c r="KGS54" s="1165"/>
      <c r="KGT54" s="1165"/>
      <c r="KGU54" s="1165"/>
      <c r="KGV54" s="1165"/>
      <c r="KGW54" s="1165"/>
      <c r="KGX54" s="1165"/>
      <c r="KGY54" s="1165"/>
      <c r="KGZ54" s="1165"/>
      <c r="KHA54" s="1165"/>
      <c r="KHB54" s="1165"/>
      <c r="KHC54" s="1165"/>
      <c r="KHD54" s="1165"/>
      <c r="KHE54" s="1165"/>
      <c r="KHF54" s="1165"/>
      <c r="KHG54" s="1165"/>
      <c r="KHH54" s="1165"/>
      <c r="KHI54" s="1165"/>
      <c r="KHJ54" s="1165"/>
      <c r="KHK54" s="1165"/>
      <c r="KHL54" s="1165"/>
      <c r="KHM54" s="1165"/>
      <c r="KHN54" s="1165"/>
      <c r="KHO54" s="1165"/>
      <c r="KHP54" s="1165"/>
      <c r="KHQ54" s="1165"/>
      <c r="KHR54" s="1165"/>
      <c r="KHS54" s="1165"/>
      <c r="KHT54" s="1165"/>
      <c r="KHU54" s="1165"/>
      <c r="KHV54" s="1165"/>
      <c r="KHW54" s="1165"/>
      <c r="KHX54" s="1165"/>
      <c r="KHY54" s="1165"/>
      <c r="KHZ54" s="1165"/>
      <c r="KIA54" s="1165"/>
      <c r="KIB54" s="1165"/>
      <c r="KIC54" s="1165"/>
      <c r="KID54" s="1165"/>
      <c r="KIE54" s="1165"/>
      <c r="KIF54" s="1165"/>
      <c r="KIG54" s="1165"/>
      <c r="KIH54" s="1165"/>
      <c r="KII54" s="1165"/>
      <c r="KIJ54" s="1165"/>
      <c r="KIK54" s="1165"/>
      <c r="KIL54" s="1165"/>
      <c r="KIM54" s="1165"/>
      <c r="KIN54" s="1165"/>
      <c r="KIO54" s="1165"/>
      <c r="KIP54" s="1165"/>
      <c r="KIQ54" s="1165"/>
      <c r="KIR54" s="1165"/>
      <c r="KIS54" s="1165"/>
      <c r="KIT54" s="1165"/>
      <c r="KIU54" s="1165"/>
      <c r="KIV54" s="1165"/>
      <c r="KIW54" s="1165"/>
      <c r="KIX54" s="1165"/>
      <c r="KIY54" s="1165"/>
      <c r="KIZ54" s="1165"/>
      <c r="KJA54" s="1165"/>
      <c r="KJB54" s="1165"/>
      <c r="KJC54" s="1165"/>
      <c r="KJD54" s="1165"/>
      <c r="KJE54" s="1165"/>
      <c r="KJF54" s="1165"/>
      <c r="KJG54" s="1165"/>
      <c r="KJH54" s="1165"/>
      <c r="KJI54" s="1165"/>
      <c r="KJJ54" s="1165"/>
      <c r="KJK54" s="1165"/>
      <c r="KJL54" s="1165"/>
      <c r="KJM54" s="1165"/>
      <c r="KJN54" s="1165"/>
      <c r="KJO54" s="1165"/>
      <c r="KJP54" s="1165"/>
      <c r="KJQ54" s="1165"/>
      <c r="KJR54" s="1165"/>
      <c r="KJS54" s="1165"/>
      <c r="KJT54" s="1165"/>
      <c r="KJU54" s="1165"/>
      <c r="KJV54" s="1165"/>
      <c r="KJW54" s="1165"/>
      <c r="KJX54" s="1165"/>
      <c r="KJY54" s="1165"/>
      <c r="KJZ54" s="1165"/>
      <c r="KKA54" s="1165"/>
      <c r="KKB54" s="1165"/>
      <c r="KKC54" s="1165"/>
      <c r="KKD54" s="1165"/>
      <c r="KKE54" s="1165"/>
      <c r="KKF54" s="1165"/>
      <c r="KKG54" s="1165"/>
      <c r="KKH54" s="1165"/>
      <c r="KKI54" s="1165"/>
      <c r="KKJ54" s="1165"/>
      <c r="KKK54" s="1165"/>
      <c r="KKL54" s="1165"/>
      <c r="KKM54" s="1165"/>
      <c r="KKN54" s="1165"/>
      <c r="KKO54" s="1165"/>
      <c r="KKP54" s="1165"/>
      <c r="KKQ54" s="1165"/>
      <c r="KKR54" s="1165"/>
      <c r="KKS54" s="1165"/>
      <c r="KKT54" s="1165"/>
      <c r="KKU54" s="1165"/>
      <c r="KKV54" s="1165"/>
      <c r="KKW54" s="1165"/>
      <c r="KKX54" s="1165"/>
      <c r="KKY54" s="1165"/>
      <c r="KKZ54" s="1165"/>
      <c r="KLA54" s="1165"/>
      <c r="KLB54" s="1165"/>
      <c r="KLC54" s="1165"/>
      <c r="KLD54" s="1165"/>
      <c r="KLE54" s="1165"/>
      <c r="KLF54" s="1165"/>
      <c r="KLG54" s="1165"/>
      <c r="KLH54" s="1165"/>
      <c r="KLI54" s="1165"/>
      <c r="KLJ54" s="1165"/>
      <c r="KLK54" s="1165"/>
      <c r="KLL54" s="1165"/>
      <c r="KLM54" s="1165"/>
      <c r="KLN54" s="1165"/>
      <c r="KLO54" s="1165"/>
      <c r="KLP54" s="1165"/>
      <c r="KLQ54" s="1165"/>
      <c r="KLR54" s="1165"/>
      <c r="KLS54" s="1165"/>
      <c r="KLT54" s="1165"/>
      <c r="KLU54" s="1165"/>
      <c r="KLV54" s="1165"/>
      <c r="KLW54" s="1165"/>
      <c r="KLX54" s="1165"/>
      <c r="KLY54" s="1165"/>
      <c r="KLZ54" s="1165"/>
      <c r="KMA54" s="1165"/>
      <c r="KMB54" s="1165"/>
      <c r="KMC54" s="1165"/>
      <c r="KMD54" s="1165"/>
      <c r="KME54" s="1165"/>
      <c r="KMF54" s="1165"/>
      <c r="KMG54" s="1165"/>
      <c r="KMH54" s="1165"/>
      <c r="KMI54" s="1165"/>
      <c r="KMJ54" s="1165"/>
      <c r="KMK54" s="1165"/>
      <c r="KML54" s="1165"/>
      <c r="KMM54" s="1165"/>
      <c r="KMN54" s="1165"/>
      <c r="KMO54" s="1165"/>
      <c r="KMP54" s="1165"/>
      <c r="KMQ54" s="1165"/>
      <c r="KMR54" s="1165"/>
      <c r="KMS54" s="1165"/>
      <c r="KMT54" s="1165"/>
      <c r="KMU54" s="1165"/>
      <c r="KMV54" s="1165"/>
      <c r="KMW54" s="1165"/>
      <c r="KMX54" s="1165"/>
      <c r="KMY54" s="1165"/>
      <c r="KMZ54" s="1165"/>
      <c r="KNA54" s="1165"/>
      <c r="KNB54" s="1165"/>
      <c r="KNC54" s="1165"/>
      <c r="KND54" s="1165"/>
      <c r="KNE54" s="1165"/>
      <c r="KNF54" s="1165"/>
      <c r="KNG54" s="1165"/>
      <c r="KNH54" s="1165"/>
      <c r="KNI54" s="1165"/>
      <c r="KNJ54" s="1165"/>
      <c r="KNK54" s="1165"/>
      <c r="KNL54" s="1165"/>
      <c r="KNM54" s="1165"/>
      <c r="KNN54" s="1165"/>
      <c r="KNO54" s="1165"/>
      <c r="KNP54" s="1165"/>
      <c r="KNQ54" s="1165"/>
      <c r="KNR54" s="1165"/>
      <c r="KNS54" s="1165"/>
      <c r="KNT54" s="1165"/>
      <c r="KNU54" s="1165"/>
      <c r="KNV54" s="1165"/>
      <c r="KNW54" s="1165"/>
      <c r="KNX54" s="1165"/>
      <c r="KNY54" s="1165"/>
      <c r="KNZ54" s="1165"/>
      <c r="KOA54" s="1165"/>
      <c r="KOB54" s="1165"/>
      <c r="KOC54" s="1165"/>
      <c r="KOD54" s="1165"/>
      <c r="KOE54" s="1165"/>
      <c r="KOF54" s="1165"/>
      <c r="KOG54" s="1165"/>
      <c r="KOH54" s="1165"/>
      <c r="KOI54" s="1165"/>
      <c r="KOJ54" s="1165"/>
      <c r="KOK54" s="1165"/>
      <c r="KOL54" s="1165"/>
      <c r="KOM54" s="1165"/>
      <c r="KON54" s="1165"/>
      <c r="KOO54" s="1165"/>
      <c r="KOP54" s="1165"/>
      <c r="KOQ54" s="1165"/>
      <c r="KOR54" s="1165"/>
      <c r="KOS54" s="1165"/>
      <c r="KOT54" s="1165"/>
      <c r="KOU54" s="1165"/>
      <c r="KOV54" s="1165"/>
      <c r="KOW54" s="1165"/>
      <c r="KOX54" s="1165"/>
      <c r="KOY54" s="1165"/>
      <c r="KOZ54" s="1165"/>
      <c r="KPA54" s="1165"/>
      <c r="KPB54" s="1165"/>
      <c r="KPC54" s="1165"/>
      <c r="KPD54" s="1165"/>
      <c r="KPE54" s="1165"/>
      <c r="KPF54" s="1165"/>
      <c r="KPG54" s="1165"/>
      <c r="KPH54" s="1165"/>
      <c r="KPI54" s="1165"/>
      <c r="KPJ54" s="1165"/>
      <c r="KPK54" s="1165"/>
      <c r="KPL54" s="1165"/>
      <c r="KPM54" s="1165"/>
      <c r="KPN54" s="1165"/>
      <c r="KPO54" s="1165"/>
      <c r="KPP54" s="1165"/>
      <c r="KPQ54" s="1165"/>
      <c r="KPR54" s="1165"/>
      <c r="KPS54" s="1165"/>
      <c r="KPT54" s="1165"/>
      <c r="KPU54" s="1165"/>
      <c r="KPV54" s="1165"/>
      <c r="KPW54" s="1165"/>
      <c r="KPX54" s="1165"/>
      <c r="KPY54" s="1165"/>
      <c r="KPZ54" s="1165"/>
      <c r="KQA54" s="1165"/>
      <c r="KQB54" s="1165"/>
      <c r="KQC54" s="1165"/>
      <c r="KQD54" s="1165"/>
      <c r="KQE54" s="1165"/>
      <c r="KQF54" s="1165"/>
      <c r="KQG54" s="1165"/>
      <c r="KQH54" s="1165"/>
      <c r="KQI54" s="1165"/>
      <c r="KQJ54" s="1165"/>
      <c r="KQK54" s="1165"/>
      <c r="KQL54" s="1165"/>
      <c r="KQM54" s="1165"/>
      <c r="KQN54" s="1165"/>
      <c r="KQO54" s="1165"/>
      <c r="KQP54" s="1165"/>
      <c r="KQQ54" s="1165"/>
      <c r="KQR54" s="1165"/>
      <c r="KQS54" s="1165"/>
      <c r="KQT54" s="1165"/>
      <c r="KQU54" s="1165"/>
      <c r="KQV54" s="1165"/>
      <c r="KQW54" s="1165"/>
      <c r="KQX54" s="1165"/>
      <c r="KQY54" s="1165"/>
      <c r="KQZ54" s="1165"/>
      <c r="KRA54" s="1165"/>
      <c r="KRB54" s="1165"/>
      <c r="KRC54" s="1165"/>
      <c r="KRD54" s="1165"/>
      <c r="KRE54" s="1165"/>
      <c r="KRF54" s="1165"/>
      <c r="KRG54" s="1165"/>
      <c r="KRH54" s="1165"/>
      <c r="KRI54" s="1165"/>
      <c r="KRJ54" s="1165"/>
      <c r="KRK54" s="1165"/>
      <c r="KRL54" s="1165"/>
      <c r="KRM54" s="1165"/>
      <c r="KRN54" s="1165"/>
      <c r="KRO54" s="1165"/>
      <c r="KRP54" s="1165"/>
      <c r="KRQ54" s="1165"/>
      <c r="KRR54" s="1165"/>
      <c r="KRS54" s="1165"/>
      <c r="KRT54" s="1165"/>
      <c r="KRU54" s="1165"/>
      <c r="KRV54" s="1165"/>
      <c r="KRW54" s="1165"/>
      <c r="KRX54" s="1165"/>
      <c r="KRY54" s="1165"/>
      <c r="KRZ54" s="1165"/>
      <c r="KSA54" s="1165"/>
      <c r="KSB54" s="1165"/>
      <c r="KSC54" s="1165"/>
      <c r="KSD54" s="1165"/>
      <c r="KSE54" s="1165"/>
      <c r="KSF54" s="1165"/>
      <c r="KSG54" s="1165"/>
      <c r="KSH54" s="1165"/>
      <c r="KSI54" s="1165"/>
      <c r="KSJ54" s="1165"/>
      <c r="KSK54" s="1165"/>
      <c r="KSL54" s="1165"/>
      <c r="KSM54" s="1165"/>
      <c r="KSN54" s="1165"/>
      <c r="KSO54" s="1165"/>
      <c r="KSP54" s="1165"/>
      <c r="KSQ54" s="1165"/>
      <c r="KSR54" s="1165"/>
      <c r="KSS54" s="1165"/>
      <c r="KST54" s="1165"/>
      <c r="KSU54" s="1165"/>
      <c r="KSV54" s="1165"/>
      <c r="KSW54" s="1165"/>
      <c r="KSX54" s="1165"/>
      <c r="KSY54" s="1165"/>
      <c r="KSZ54" s="1165"/>
      <c r="KTA54" s="1165"/>
      <c r="KTB54" s="1165"/>
      <c r="KTC54" s="1165"/>
      <c r="KTD54" s="1165"/>
      <c r="KTE54" s="1165"/>
      <c r="KTF54" s="1165"/>
      <c r="KTG54" s="1165"/>
      <c r="KTH54" s="1165"/>
      <c r="KTI54" s="1165"/>
      <c r="KTJ54" s="1165"/>
      <c r="KTK54" s="1165"/>
      <c r="KTL54" s="1165"/>
      <c r="KTM54" s="1165"/>
      <c r="KTN54" s="1165"/>
      <c r="KTO54" s="1165"/>
      <c r="KTP54" s="1165"/>
      <c r="KTQ54" s="1165"/>
      <c r="KTR54" s="1165"/>
      <c r="KTS54" s="1165"/>
      <c r="KTT54" s="1165"/>
      <c r="KTU54" s="1165"/>
      <c r="KTV54" s="1165"/>
      <c r="KTW54" s="1165"/>
      <c r="KTX54" s="1165"/>
      <c r="KTY54" s="1165"/>
      <c r="KTZ54" s="1165"/>
      <c r="KUA54" s="1165"/>
      <c r="KUB54" s="1165"/>
      <c r="KUC54" s="1165"/>
      <c r="KUD54" s="1165"/>
      <c r="KUE54" s="1165"/>
      <c r="KUF54" s="1165"/>
      <c r="KUG54" s="1165"/>
      <c r="KUH54" s="1165"/>
      <c r="KUI54" s="1165"/>
      <c r="KUJ54" s="1165"/>
      <c r="KUK54" s="1165"/>
      <c r="KUL54" s="1165"/>
      <c r="KUM54" s="1165"/>
      <c r="KUN54" s="1165"/>
      <c r="KUO54" s="1165"/>
      <c r="KUP54" s="1165"/>
      <c r="KUQ54" s="1165"/>
      <c r="KUR54" s="1165"/>
      <c r="KUS54" s="1165"/>
      <c r="KUT54" s="1165"/>
      <c r="KUU54" s="1165"/>
      <c r="KUV54" s="1165"/>
      <c r="KUW54" s="1165"/>
      <c r="KUX54" s="1165"/>
      <c r="KUY54" s="1165"/>
      <c r="KUZ54" s="1165"/>
      <c r="KVA54" s="1165"/>
      <c r="KVB54" s="1165"/>
      <c r="KVC54" s="1165"/>
      <c r="KVD54" s="1165"/>
      <c r="KVE54" s="1165"/>
      <c r="KVF54" s="1165"/>
      <c r="KVG54" s="1165"/>
      <c r="KVH54" s="1165"/>
      <c r="KVI54" s="1165"/>
      <c r="KVJ54" s="1165"/>
      <c r="KVK54" s="1165"/>
      <c r="KVL54" s="1165"/>
      <c r="KVM54" s="1165"/>
      <c r="KVN54" s="1165"/>
      <c r="KVO54" s="1165"/>
      <c r="KVP54" s="1165"/>
      <c r="KVQ54" s="1165"/>
      <c r="KVR54" s="1165"/>
      <c r="KVS54" s="1165"/>
      <c r="KVT54" s="1165"/>
      <c r="KVU54" s="1165"/>
      <c r="KVV54" s="1165"/>
      <c r="KVW54" s="1165"/>
      <c r="KVX54" s="1165"/>
      <c r="KVY54" s="1165"/>
      <c r="KVZ54" s="1165"/>
      <c r="KWA54" s="1165"/>
      <c r="KWB54" s="1165"/>
      <c r="KWC54" s="1165"/>
      <c r="KWD54" s="1165"/>
      <c r="KWE54" s="1165"/>
      <c r="KWF54" s="1165"/>
      <c r="KWG54" s="1165"/>
      <c r="KWH54" s="1165"/>
      <c r="KWI54" s="1165"/>
      <c r="KWJ54" s="1165"/>
      <c r="KWK54" s="1165"/>
      <c r="KWL54" s="1165"/>
      <c r="KWM54" s="1165"/>
      <c r="KWN54" s="1165"/>
      <c r="KWO54" s="1165"/>
      <c r="KWP54" s="1165"/>
      <c r="KWQ54" s="1165"/>
      <c r="KWR54" s="1165"/>
      <c r="KWS54" s="1165"/>
      <c r="KWT54" s="1165"/>
      <c r="KWU54" s="1165"/>
      <c r="KWV54" s="1165"/>
      <c r="KWW54" s="1165"/>
      <c r="KWX54" s="1165"/>
      <c r="KWY54" s="1165"/>
      <c r="KWZ54" s="1165"/>
      <c r="KXA54" s="1165"/>
      <c r="KXB54" s="1165"/>
      <c r="KXC54" s="1165"/>
      <c r="KXD54" s="1165"/>
      <c r="KXE54" s="1165"/>
      <c r="KXF54" s="1165"/>
      <c r="KXG54" s="1165"/>
      <c r="KXH54" s="1165"/>
      <c r="KXI54" s="1165"/>
      <c r="KXJ54" s="1165"/>
      <c r="KXK54" s="1165"/>
      <c r="KXL54" s="1165"/>
      <c r="KXM54" s="1165"/>
      <c r="KXN54" s="1165"/>
      <c r="KXO54" s="1165"/>
      <c r="KXP54" s="1165"/>
      <c r="KXQ54" s="1165"/>
      <c r="KXR54" s="1165"/>
      <c r="KXS54" s="1165"/>
      <c r="KXT54" s="1165"/>
      <c r="KXU54" s="1165"/>
      <c r="KXV54" s="1165"/>
      <c r="KXW54" s="1165"/>
      <c r="KXX54" s="1165"/>
      <c r="KXY54" s="1165"/>
      <c r="KXZ54" s="1165"/>
      <c r="KYA54" s="1165"/>
      <c r="KYB54" s="1165"/>
      <c r="KYC54" s="1165"/>
      <c r="KYD54" s="1165"/>
      <c r="KYE54" s="1165"/>
      <c r="KYF54" s="1165"/>
      <c r="KYG54" s="1165"/>
      <c r="KYH54" s="1165"/>
      <c r="KYI54" s="1165"/>
      <c r="KYJ54" s="1165"/>
      <c r="KYK54" s="1165"/>
      <c r="KYL54" s="1165"/>
      <c r="KYM54" s="1165"/>
      <c r="KYN54" s="1165"/>
      <c r="KYO54" s="1165"/>
      <c r="KYP54" s="1165"/>
      <c r="KYQ54" s="1165"/>
      <c r="KYR54" s="1165"/>
      <c r="KYS54" s="1165"/>
      <c r="KYT54" s="1165"/>
      <c r="KYU54" s="1165"/>
      <c r="KYV54" s="1165"/>
      <c r="KYW54" s="1165"/>
      <c r="KYX54" s="1165"/>
      <c r="KYY54" s="1165"/>
      <c r="KYZ54" s="1165"/>
      <c r="KZA54" s="1165"/>
      <c r="KZB54" s="1165"/>
      <c r="KZC54" s="1165"/>
      <c r="KZD54" s="1165"/>
      <c r="KZE54" s="1165"/>
      <c r="KZF54" s="1165"/>
      <c r="KZG54" s="1165"/>
      <c r="KZH54" s="1165"/>
      <c r="KZI54" s="1165"/>
      <c r="KZJ54" s="1165"/>
      <c r="KZK54" s="1165"/>
      <c r="KZL54" s="1165"/>
      <c r="KZM54" s="1165"/>
      <c r="KZN54" s="1165"/>
      <c r="KZO54" s="1165"/>
      <c r="KZP54" s="1165"/>
      <c r="KZQ54" s="1165"/>
      <c r="KZR54" s="1165"/>
      <c r="KZS54" s="1165"/>
      <c r="KZT54" s="1165"/>
      <c r="KZU54" s="1165"/>
      <c r="KZV54" s="1165"/>
      <c r="KZW54" s="1165"/>
      <c r="KZX54" s="1165"/>
      <c r="KZY54" s="1165"/>
      <c r="KZZ54" s="1165"/>
      <c r="LAA54" s="1165"/>
      <c r="LAB54" s="1165"/>
      <c r="LAC54" s="1165"/>
      <c r="LAD54" s="1165"/>
      <c r="LAE54" s="1165"/>
      <c r="LAF54" s="1165"/>
      <c r="LAG54" s="1165"/>
      <c r="LAH54" s="1165"/>
      <c r="LAI54" s="1165"/>
      <c r="LAJ54" s="1165"/>
      <c r="LAK54" s="1165"/>
      <c r="LAL54" s="1165"/>
      <c r="LAM54" s="1165"/>
      <c r="LAN54" s="1165"/>
      <c r="LAO54" s="1165"/>
      <c r="LAP54" s="1165"/>
      <c r="LAQ54" s="1165"/>
      <c r="LAR54" s="1165"/>
      <c r="LAS54" s="1165"/>
      <c r="LAT54" s="1165"/>
      <c r="LAU54" s="1165"/>
      <c r="LAV54" s="1165"/>
      <c r="LAW54" s="1165"/>
      <c r="LAX54" s="1165"/>
      <c r="LAY54" s="1165"/>
      <c r="LAZ54" s="1165"/>
      <c r="LBA54" s="1165"/>
      <c r="LBB54" s="1165"/>
      <c r="LBC54" s="1165"/>
      <c r="LBD54" s="1165"/>
      <c r="LBE54" s="1165"/>
      <c r="LBF54" s="1165"/>
      <c r="LBG54" s="1165"/>
      <c r="LBH54" s="1165"/>
      <c r="LBI54" s="1165"/>
      <c r="LBJ54" s="1165"/>
      <c r="LBK54" s="1165"/>
      <c r="LBL54" s="1165"/>
      <c r="LBM54" s="1165"/>
      <c r="LBN54" s="1165"/>
      <c r="LBO54" s="1165"/>
      <c r="LBP54" s="1165"/>
      <c r="LBQ54" s="1165"/>
      <c r="LBR54" s="1165"/>
      <c r="LBS54" s="1165"/>
      <c r="LBT54" s="1165"/>
      <c r="LBU54" s="1165"/>
      <c r="LBV54" s="1165"/>
      <c r="LBW54" s="1165"/>
      <c r="LBX54" s="1165"/>
      <c r="LBY54" s="1165"/>
      <c r="LBZ54" s="1165"/>
      <c r="LCA54" s="1165"/>
      <c r="LCB54" s="1165"/>
      <c r="LCC54" s="1165"/>
      <c r="LCD54" s="1165"/>
      <c r="LCE54" s="1165"/>
      <c r="LCF54" s="1165"/>
      <c r="LCG54" s="1165"/>
      <c r="LCH54" s="1165"/>
      <c r="LCI54" s="1165"/>
      <c r="LCJ54" s="1165"/>
      <c r="LCK54" s="1165"/>
      <c r="LCL54" s="1165"/>
      <c r="LCM54" s="1165"/>
      <c r="LCN54" s="1165"/>
      <c r="LCO54" s="1165"/>
      <c r="LCP54" s="1165"/>
      <c r="LCQ54" s="1165"/>
      <c r="LCR54" s="1165"/>
      <c r="LCS54" s="1165"/>
      <c r="LCT54" s="1165"/>
      <c r="LCU54" s="1165"/>
      <c r="LCV54" s="1165"/>
      <c r="LCW54" s="1165"/>
      <c r="LCX54" s="1165"/>
      <c r="LCY54" s="1165"/>
      <c r="LCZ54" s="1165"/>
      <c r="LDA54" s="1165"/>
      <c r="LDB54" s="1165"/>
      <c r="LDC54" s="1165"/>
      <c r="LDD54" s="1165"/>
      <c r="LDE54" s="1165"/>
      <c r="LDF54" s="1165"/>
      <c r="LDG54" s="1165"/>
      <c r="LDH54" s="1165"/>
      <c r="LDI54" s="1165"/>
      <c r="LDJ54" s="1165"/>
      <c r="LDK54" s="1165"/>
      <c r="LDL54" s="1165"/>
      <c r="LDM54" s="1165"/>
      <c r="LDN54" s="1165"/>
      <c r="LDO54" s="1165"/>
      <c r="LDP54" s="1165"/>
      <c r="LDQ54" s="1165"/>
      <c r="LDR54" s="1165"/>
      <c r="LDS54" s="1165"/>
      <c r="LDT54" s="1165"/>
      <c r="LDU54" s="1165"/>
      <c r="LDV54" s="1165"/>
      <c r="LDW54" s="1165"/>
      <c r="LDX54" s="1165"/>
      <c r="LDY54" s="1165"/>
      <c r="LDZ54" s="1165"/>
      <c r="LEA54" s="1165"/>
      <c r="LEB54" s="1165"/>
      <c r="LEC54" s="1165"/>
      <c r="LED54" s="1165"/>
      <c r="LEE54" s="1165"/>
      <c r="LEF54" s="1165"/>
      <c r="LEG54" s="1165"/>
      <c r="LEH54" s="1165"/>
      <c r="LEI54" s="1165"/>
      <c r="LEJ54" s="1165"/>
      <c r="LEK54" s="1165"/>
      <c r="LEL54" s="1165"/>
      <c r="LEM54" s="1165"/>
      <c r="LEN54" s="1165"/>
      <c r="LEO54" s="1165"/>
      <c r="LEP54" s="1165"/>
      <c r="LEQ54" s="1165"/>
      <c r="LER54" s="1165"/>
      <c r="LES54" s="1165"/>
      <c r="LET54" s="1165"/>
      <c r="LEU54" s="1165"/>
      <c r="LEV54" s="1165"/>
      <c r="LEW54" s="1165"/>
      <c r="LEX54" s="1165"/>
      <c r="LEY54" s="1165"/>
      <c r="LEZ54" s="1165"/>
      <c r="LFA54" s="1165"/>
      <c r="LFB54" s="1165"/>
      <c r="LFC54" s="1165"/>
      <c r="LFD54" s="1165"/>
      <c r="LFE54" s="1165"/>
      <c r="LFF54" s="1165"/>
      <c r="LFG54" s="1165"/>
      <c r="LFH54" s="1165"/>
      <c r="LFI54" s="1165"/>
      <c r="LFJ54" s="1165"/>
      <c r="LFK54" s="1165"/>
      <c r="LFL54" s="1165"/>
      <c r="LFM54" s="1165"/>
      <c r="LFN54" s="1165"/>
      <c r="LFO54" s="1165"/>
      <c r="LFP54" s="1165"/>
      <c r="LFQ54" s="1165"/>
      <c r="LFR54" s="1165"/>
      <c r="LFS54" s="1165"/>
      <c r="LFT54" s="1165"/>
      <c r="LFU54" s="1165"/>
      <c r="LFV54" s="1165"/>
      <c r="LFW54" s="1165"/>
      <c r="LFX54" s="1165"/>
      <c r="LFY54" s="1165"/>
      <c r="LFZ54" s="1165"/>
      <c r="LGA54" s="1165"/>
      <c r="LGB54" s="1165"/>
      <c r="LGC54" s="1165"/>
      <c r="LGD54" s="1165"/>
      <c r="LGE54" s="1165"/>
      <c r="LGF54" s="1165"/>
      <c r="LGG54" s="1165"/>
      <c r="LGH54" s="1165"/>
      <c r="LGI54" s="1165"/>
      <c r="LGJ54" s="1165"/>
      <c r="LGK54" s="1165"/>
      <c r="LGL54" s="1165"/>
      <c r="LGM54" s="1165"/>
      <c r="LGN54" s="1165"/>
      <c r="LGO54" s="1165"/>
      <c r="LGP54" s="1165"/>
      <c r="LGQ54" s="1165"/>
      <c r="LGR54" s="1165"/>
      <c r="LGS54" s="1165"/>
      <c r="LGT54" s="1165"/>
      <c r="LGU54" s="1165"/>
      <c r="LGV54" s="1165"/>
      <c r="LGW54" s="1165"/>
      <c r="LGX54" s="1165"/>
      <c r="LGY54" s="1165"/>
      <c r="LGZ54" s="1165"/>
      <c r="LHA54" s="1165"/>
      <c r="LHB54" s="1165"/>
      <c r="LHC54" s="1165"/>
      <c r="LHD54" s="1165"/>
      <c r="LHE54" s="1165"/>
      <c r="LHF54" s="1165"/>
      <c r="LHG54" s="1165"/>
      <c r="LHH54" s="1165"/>
      <c r="LHI54" s="1165"/>
      <c r="LHJ54" s="1165"/>
      <c r="LHK54" s="1165"/>
      <c r="LHL54" s="1165"/>
      <c r="LHM54" s="1165"/>
      <c r="LHN54" s="1165"/>
      <c r="LHO54" s="1165"/>
      <c r="LHP54" s="1165"/>
      <c r="LHQ54" s="1165"/>
      <c r="LHR54" s="1165"/>
      <c r="LHS54" s="1165"/>
      <c r="LHT54" s="1165"/>
      <c r="LHU54" s="1165"/>
      <c r="LHV54" s="1165"/>
      <c r="LHW54" s="1165"/>
      <c r="LHX54" s="1165"/>
      <c r="LHY54" s="1165"/>
      <c r="LHZ54" s="1165"/>
      <c r="LIA54" s="1165"/>
      <c r="LIB54" s="1165"/>
      <c r="LIC54" s="1165"/>
      <c r="LID54" s="1165"/>
      <c r="LIE54" s="1165"/>
      <c r="LIF54" s="1165"/>
      <c r="LIG54" s="1165"/>
      <c r="LIH54" s="1165"/>
      <c r="LII54" s="1165"/>
      <c r="LIJ54" s="1165"/>
      <c r="LIK54" s="1165"/>
      <c r="LIL54" s="1165"/>
      <c r="LIM54" s="1165"/>
      <c r="LIN54" s="1165"/>
      <c r="LIO54" s="1165"/>
      <c r="LIP54" s="1165"/>
      <c r="LIQ54" s="1165"/>
      <c r="LIR54" s="1165"/>
      <c r="LIS54" s="1165"/>
      <c r="LIT54" s="1165"/>
      <c r="LIU54" s="1165"/>
      <c r="LIV54" s="1165"/>
      <c r="LIW54" s="1165"/>
      <c r="LIX54" s="1165"/>
      <c r="LIY54" s="1165"/>
      <c r="LIZ54" s="1165"/>
      <c r="LJA54" s="1165"/>
      <c r="LJB54" s="1165"/>
      <c r="LJC54" s="1165"/>
      <c r="LJD54" s="1165"/>
      <c r="LJE54" s="1165"/>
      <c r="LJF54" s="1165"/>
      <c r="LJG54" s="1165"/>
      <c r="LJH54" s="1165"/>
      <c r="LJI54" s="1165"/>
      <c r="LJJ54" s="1165"/>
      <c r="LJK54" s="1165"/>
      <c r="LJL54" s="1165"/>
      <c r="LJM54" s="1165"/>
      <c r="LJN54" s="1165"/>
      <c r="LJO54" s="1165"/>
      <c r="LJP54" s="1165"/>
      <c r="LJQ54" s="1165"/>
      <c r="LJR54" s="1165"/>
      <c r="LJS54" s="1165"/>
      <c r="LJT54" s="1165"/>
      <c r="LJU54" s="1165"/>
      <c r="LJV54" s="1165"/>
      <c r="LJW54" s="1165"/>
      <c r="LJX54" s="1165"/>
      <c r="LJY54" s="1165"/>
      <c r="LJZ54" s="1165"/>
      <c r="LKA54" s="1165"/>
      <c r="LKB54" s="1165"/>
      <c r="LKC54" s="1165"/>
      <c r="LKD54" s="1165"/>
      <c r="LKE54" s="1165"/>
      <c r="LKF54" s="1165"/>
      <c r="LKG54" s="1165"/>
      <c r="LKH54" s="1165"/>
      <c r="LKI54" s="1165"/>
      <c r="LKJ54" s="1165"/>
      <c r="LKK54" s="1165"/>
      <c r="LKL54" s="1165"/>
      <c r="LKM54" s="1165"/>
      <c r="LKN54" s="1165"/>
      <c r="LKO54" s="1165"/>
      <c r="LKP54" s="1165"/>
      <c r="LKQ54" s="1165"/>
      <c r="LKR54" s="1165"/>
      <c r="LKS54" s="1165"/>
      <c r="LKT54" s="1165"/>
      <c r="LKU54" s="1165"/>
      <c r="LKV54" s="1165"/>
      <c r="LKW54" s="1165"/>
      <c r="LKX54" s="1165"/>
      <c r="LKY54" s="1165"/>
      <c r="LKZ54" s="1165"/>
      <c r="LLA54" s="1165"/>
      <c r="LLB54" s="1165"/>
      <c r="LLC54" s="1165"/>
      <c r="LLD54" s="1165"/>
      <c r="LLE54" s="1165"/>
      <c r="LLF54" s="1165"/>
      <c r="LLG54" s="1165"/>
      <c r="LLH54" s="1165"/>
      <c r="LLI54" s="1165"/>
      <c r="LLJ54" s="1165"/>
      <c r="LLK54" s="1165"/>
      <c r="LLL54" s="1165"/>
      <c r="LLM54" s="1165"/>
      <c r="LLN54" s="1165"/>
      <c r="LLO54" s="1165"/>
      <c r="LLP54" s="1165"/>
      <c r="LLQ54" s="1165"/>
      <c r="LLR54" s="1165"/>
      <c r="LLS54" s="1165"/>
      <c r="LLT54" s="1165"/>
      <c r="LLU54" s="1165"/>
      <c r="LLV54" s="1165"/>
      <c r="LLW54" s="1165"/>
      <c r="LLX54" s="1165"/>
      <c r="LLY54" s="1165"/>
      <c r="LLZ54" s="1165"/>
      <c r="LMA54" s="1165"/>
      <c r="LMB54" s="1165"/>
      <c r="LMC54" s="1165"/>
      <c r="LMD54" s="1165"/>
      <c r="LME54" s="1165"/>
      <c r="LMF54" s="1165"/>
      <c r="LMG54" s="1165"/>
      <c r="LMH54" s="1165"/>
      <c r="LMI54" s="1165"/>
      <c r="LMJ54" s="1165"/>
      <c r="LMK54" s="1165"/>
      <c r="LML54" s="1165"/>
      <c r="LMM54" s="1165"/>
      <c r="LMN54" s="1165"/>
      <c r="LMO54" s="1165"/>
      <c r="LMP54" s="1165"/>
      <c r="LMQ54" s="1165"/>
      <c r="LMR54" s="1165"/>
      <c r="LMS54" s="1165"/>
      <c r="LMT54" s="1165"/>
      <c r="LMU54" s="1165"/>
      <c r="LMV54" s="1165"/>
      <c r="LMW54" s="1165"/>
      <c r="LMX54" s="1165"/>
      <c r="LMY54" s="1165"/>
      <c r="LMZ54" s="1165"/>
      <c r="LNA54" s="1165"/>
      <c r="LNB54" s="1165"/>
      <c r="LNC54" s="1165"/>
      <c r="LND54" s="1165"/>
      <c r="LNE54" s="1165"/>
      <c r="LNF54" s="1165"/>
      <c r="LNG54" s="1165"/>
      <c r="LNH54" s="1165"/>
      <c r="LNI54" s="1165"/>
      <c r="LNJ54" s="1165"/>
      <c r="LNK54" s="1165"/>
      <c r="LNL54" s="1165"/>
      <c r="LNM54" s="1165"/>
      <c r="LNN54" s="1165"/>
      <c r="LNO54" s="1165"/>
      <c r="LNP54" s="1165"/>
      <c r="LNQ54" s="1165"/>
      <c r="LNR54" s="1165"/>
      <c r="LNS54" s="1165"/>
      <c r="LNT54" s="1165"/>
      <c r="LNU54" s="1165"/>
      <c r="LNV54" s="1165"/>
      <c r="LNW54" s="1165"/>
      <c r="LNX54" s="1165"/>
      <c r="LNY54" s="1165"/>
      <c r="LNZ54" s="1165"/>
      <c r="LOA54" s="1165"/>
      <c r="LOB54" s="1165"/>
      <c r="LOC54" s="1165"/>
      <c r="LOD54" s="1165"/>
      <c r="LOE54" s="1165"/>
      <c r="LOF54" s="1165"/>
      <c r="LOG54" s="1165"/>
      <c r="LOH54" s="1165"/>
      <c r="LOI54" s="1165"/>
      <c r="LOJ54" s="1165"/>
      <c r="LOK54" s="1165"/>
      <c r="LOL54" s="1165"/>
      <c r="LOM54" s="1165"/>
      <c r="LON54" s="1165"/>
      <c r="LOO54" s="1165"/>
      <c r="LOP54" s="1165"/>
      <c r="LOQ54" s="1165"/>
      <c r="LOR54" s="1165"/>
      <c r="LOS54" s="1165"/>
      <c r="LOT54" s="1165"/>
      <c r="LOU54" s="1165"/>
      <c r="LOV54" s="1165"/>
      <c r="LOW54" s="1165"/>
      <c r="LOX54" s="1165"/>
      <c r="LOY54" s="1165"/>
      <c r="LOZ54" s="1165"/>
      <c r="LPA54" s="1165"/>
      <c r="LPB54" s="1165"/>
      <c r="LPC54" s="1165"/>
      <c r="LPD54" s="1165"/>
      <c r="LPE54" s="1165"/>
      <c r="LPF54" s="1165"/>
      <c r="LPG54" s="1165"/>
      <c r="LPH54" s="1165"/>
      <c r="LPI54" s="1165"/>
      <c r="LPJ54" s="1165"/>
      <c r="LPK54" s="1165"/>
      <c r="LPL54" s="1165"/>
      <c r="LPM54" s="1165"/>
      <c r="LPN54" s="1165"/>
      <c r="LPO54" s="1165"/>
      <c r="LPP54" s="1165"/>
      <c r="LPQ54" s="1165"/>
      <c r="LPR54" s="1165"/>
      <c r="LPS54" s="1165"/>
      <c r="LPT54" s="1165"/>
      <c r="LPU54" s="1165"/>
      <c r="LPV54" s="1165"/>
      <c r="LPW54" s="1165"/>
      <c r="LPX54" s="1165"/>
      <c r="LPY54" s="1165"/>
      <c r="LPZ54" s="1165"/>
      <c r="LQA54" s="1165"/>
      <c r="LQB54" s="1165"/>
      <c r="LQC54" s="1165"/>
      <c r="LQD54" s="1165"/>
      <c r="LQE54" s="1165"/>
      <c r="LQF54" s="1165"/>
      <c r="LQG54" s="1165"/>
      <c r="LQH54" s="1165"/>
      <c r="LQI54" s="1165"/>
      <c r="LQJ54" s="1165"/>
      <c r="LQK54" s="1165"/>
      <c r="LQL54" s="1165"/>
      <c r="LQM54" s="1165"/>
      <c r="LQN54" s="1165"/>
      <c r="LQO54" s="1165"/>
      <c r="LQP54" s="1165"/>
      <c r="LQQ54" s="1165"/>
      <c r="LQR54" s="1165"/>
      <c r="LQS54" s="1165"/>
      <c r="LQT54" s="1165"/>
      <c r="LQU54" s="1165"/>
      <c r="LQV54" s="1165"/>
      <c r="LQW54" s="1165"/>
      <c r="LQX54" s="1165"/>
      <c r="LQY54" s="1165"/>
      <c r="LQZ54" s="1165"/>
      <c r="LRA54" s="1165"/>
      <c r="LRB54" s="1165"/>
      <c r="LRC54" s="1165"/>
      <c r="LRD54" s="1165"/>
      <c r="LRE54" s="1165"/>
      <c r="LRF54" s="1165"/>
      <c r="LRG54" s="1165"/>
      <c r="LRH54" s="1165"/>
      <c r="LRI54" s="1165"/>
      <c r="LRJ54" s="1165"/>
      <c r="LRK54" s="1165"/>
      <c r="LRL54" s="1165"/>
      <c r="LRM54" s="1165"/>
      <c r="LRN54" s="1165"/>
      <c r="LRO54" s="1165"/>
      <c r="LRP54" s="1165"/>
      <c r="LRQ54" s="1165"/>
      <c r="LRR54" s="1165"/>
      <c r="LRS54" s="1165"/>
      <c r="LRT54" s="1165"/>
      <c r="LRU54" s="1165"/>
      <c r="LRV54" s="1165"/>
      <c r="LRW54" s="1165"/>
      <c r="LRX54" s="1165"/>
      <c r="LRY54" s="1165"/>
      <c r="LRZ54" s="1165"/>
      <c r="LSA54" s="1165"/>
      <c r="LSB54" s="1165"/>
      <c r="LSC54" s="1165"/>
      <c r="LSD54" s="1165"/>
      <c r="LSE54" s="1165"/>
      <c r="LSF54" s="1165"/>
      <c r="LSG54" s="1165"/>
      <c r="LSH54" s="1165"/>
      <c r="LSI54" s="1165"/>
      <c r="LSJ54" s="1165"/>
      <c r="LSK54" s="1165"/>
      <c r="LSL54" s="1165"/>
      <c r="LSM54" s="1165"/>
      <c r="LSN54" s="1165"/>
      <c r="LSO54" s="1165"/>
      <c r="LSP54" s="1165"/>
      <c r="LSQ54" s="1165"/>
      <c r="LSR54" s="1165"/>
      <c r="LSS54" s="1165"/>
      <c r="LST54" s="1165"/>
      <c r="LSU54" s="1165"/>
      <c r="LSV54" s="1165"/>
      <c r="LSW54" s="1165"/>
      <c r="LSX54" s="1165"/>
      <c r="LSY54" s="1165"/>
      <c r="LSZ54" s="1165"/>
      <c r="LTA54" s="1165"/>
      <c r="LTB54" s="1165"/>
      <c r="LTC54" s="1165"/>
      <c r="LTD54" s="1165"/>
      <c r="LTE54" s="1165"/>
      <c r="LTF54" s="1165"/>
      <c r="LTG54" s="1165"/>
      <c r="LTH54" s="1165"/>
      <c r="LTI54" s="1165"/>
      <c r="LTJ54" s="1165"/>
      <c r="LTK54" s="1165"/>
      <c r="LTL54" s="1165"/>
      <c r="LTM54" s="1165"/>
      <c r="LTN54" s="1165"/>
      <c r="LTO54" s="1165"/>
      <c r="LTP54" s="1165"/>
      <c r="LTQ54" s="1165"/>
      <c r="LTR54" s="1165"/>
      <c r="LTS54" s="1165"/>
      <c r="LTT54" s="1165"/>
      <c r="LTU54" s="1165"/>
      <c r="LTV54" s="1165"/>
      <c r="LTW54" s="1165"/>
      <c r="LTX54" s="1165"/>
      <c r="LTY54" s="1165"/>
      <c r="LTZ54" s="1165"/>
      <c r="LUA54" s="1165"/>
      <c r="LUB54" s="1165"/>
      <c r="LUC54" s="1165"/>
      <c r="LUD54" s="1165"/>
      <c r="LUE54" s="1165"/>
      <c r="LUF54" s="1165"/>
      <c r="LUG54" s="1165"/>
      <c r="LUH54" s="1165"/>
      <c r="LUI54" s="1165"/>
      <c r="LUJ54" s="1165"/>
      <c r="LUK54" s="1165"/>
      <c r="LUL54" s="1165"/>
      <c r="LUM54" s="1165"/>
      <c r="LUN54" s="1165"/>
      <c r="LUO54" s="1165"/>
      <c r="LUP54" s="1165"/>
      <c r="LUQ54" s="1165"/>
      <c r="LUR54" s="1165"/>
      <c r="LUS54" s="1165"/>
      <c r="LUT54" s="1165"/>
      <c r="LUU54" s="1165"/>
      <c r="LUV54" s="1165"/>
      <c r="LUW54" s="1165"/>
      <c r="LUX54" s="1165"/>
      <c r="LUY54" s="1165"/>
      <c r="LUZ54" s="1165"/>
      <c r="LVA54" s="1165"/>
      <c r="LVB54" s="1165"/>
      <c r="LVC54" s="1165"/>
      <c r="LVD54" s="1165"/>
      <c r="LVE54" s="1165"/>
      <c r="LVF54" s="1165"/>
      <c r="LVG54" s="1165"/>
      <c r="LVH54" s="1165"/>
      <c r="LVI54" s="1165"/>
      <c r="LVJ54" s="1165"/>
      <c r="LVK54" s="1165"/>
      <c r="LVL54" s="1165"/>
      <c r="LVM54" s="1165"/>
      <c r="LVN54" s="1165"/>
      <c r="LVO54" s="1165"/>
      <c r="LVP54" s="1165"/>
      <c r="LVQ54" s="1165"/>
      <c r="LVR54" s="1165"/>
      <c r="LVS54" s="1165"/>
      <c r="LVT54" s="1165"/>
      <c r="LVU54" s="1165"/>
      <c r="LVV54" s="1165"/>
      <c r="LVW54" s="1165"/>
      <c r="LVX54" s="1165"/>
      <c r="LVY54" s="1165"/>
      <c r="LVZ54" s="1165"/>
      <c r="LWA54" s="1165"/>
      <c r="LWB54" s="1165"/>
      <c r="LWC54" s="1165"/>
      <c r="LWD54" s="1165"/>
      <c r="LWE54" s="1165"/>
      <c r="LWF54" s="1165"/>
      <c r="LWG54" s="1165"/>
      <c r="LWH54" s="1165"/>
      <c r="LWI54" s="1165"/>
      <c r="LWJ54" s="1165"/>
      <c r="LWK54" s="1165"/>
      <c r="LWL54" s="1165"/>
      <c r="LWM54" s="1165"/>
      <c r="LWN54" s="1165"/>
      <c r="LWO54" s="1165"/>
      <c r="LWP54" s="1165"/>
      <c r="LWQ54" s="1165"/>
      <c r="LWR54" s="1165"/>
      <c r="LWS54" s="1165"/>
      <c r="LWT54" s="1165"/>
      <c r="LWU54" s="1165"/>
      <c r="LWV54" s="1165"/>
      <c r="LWW54" s="1165"/>
      <c r="LWX54" s="1165"/>
      <c r="LWY54" s="1165"/>
      <c r="LWZ54" s="1165"/>
      <c r="LXA54" s="1165"/>
      <c r="LXB54" s="1165"/>
      <c r="LXC54" s="1165"/>
      <c r="LXD54" s="1165"/>
      <c r="LXE54" s="1165"/>
      <c r="LXF54" s="1165"/>
      <c r="LXG54" s="1165"/>
      <c r="LXH54" s="1165"/>
      <c r="LXI54" s="1165"/>
      <c r="LXJ54" s="1165"/>
      <c r="LXK54" s="1165"/>
      <c r="LXL54" s="1165"/>
      <c r="LXM54" s="1165"/>
      <c r="LXN54" s="1165"/>
      <c r="LXO54" s="1165"/>
      <c r="LXP54" s="1165"/>
      <c r="LXQ54" s="1165"/>
      <c r="LXR54" s="1165"/>
      <c r="LXS54" s="1165"/>
      <c r="LXT54" s="1165"/>
      <c r="LXU54" s="1165"/>
      <c r="LXV54" s="1165"/>
      <c r="LXW54" s="1165"/>
      <c r="LXX54" s="1165"/>
      <c r="LXY54" s="1165"/>
      <c r="LXZ54" s="1165"/>
      <c r="LYA54" s="1165"/>
      <c r="LYB54" s="1165"/>
      <c r="LYC54" s="1165"/>
      <c r="LYD54" s="1165"/>
      <c r="LYE54" s="1165"/>
      <c r="LYF54" s="1165"/>
      <c r="LYG54" s="1165"/>
      <c r="LYH54" s="1165"/>
      <c r="LYI54" s="1165"/>
      <c r="LYJ54" s="1165"/>
      <c r="LYK54" s="1165"/>
      <c r="LYL54" s="1165"/>
      <c r="LYM54" s="1165"/>
      <c r="LYN54" s="1165"/>
      <c r="LYO54" s="1165"/>
      <c r="LYP54" s="1165"/>
      <c r="LYQ54" s="1165"/>
      <c r="LYR54" s="1165"/>
      <c r="LYS54" s="1165"/>
      <c r="LYT54" s="1165"/>
      <c r="LYU54" s="1165"/>
      <c r="LYV54" s="1165"/>
      <c r="LYW54" s="1165"/>
      <c r="LYX54" s="1165"/>
      <c r="LYY54" s="1165"/>
      <c r="LYZ54" s="1165"/>
      <c r="LZA54" s="1165"/>
      <c r="LZB54" s="1165"/>
      <c r="LZC54" s="1165"/>
      <c r="LZD54" s="1165"/>
      <c r="LZE54" s="1165"/>
      <c r="LZF54" s="1165"/>
      <c r="LZG54" s="1165"/>
      <c r="LZH54" s="1165"/>
      <c r="LZI54" s="1165"/>
      <c r="LZJ54" s="1165"/>
      <c r="LZK54" s="1165"/>
      <c r="LZL54" s="1165"/>
      <c r="LZM54" s="1165"/>
      <c r="LZN54" s="1165"/>
      <c r="LZO54" s="1165"/>
      <c r="LZP54" s="1165"/>
      <c r="LZQ54" s="1165"/>
      <c r="LZR54" s="1165"/>
      <c r="LZS54" s="1165"/>
      <c r="LZT54" s="1165"/>
      <c r="LZU54" s="1165"/>
      <c r="LZV54" s="1165"/>
      <c r="LZW54" s="1165"/>
      <c r="LZX54" s="1165"/>
      <c r="LZY54" s="1165"/>
      <c r="LZZ54" s="1165"/>
      <c r="MAA54" s="1165"/>
      <c r="MAB54" s="1165"/>
      <c r="MAC54" s="1165"/>
      <c r="MAD54" s="1165"/>
      <c r="MAE54" s="1165"/>
      <c r="MAF54" s="1165"/>
      <c r="MAG54" s="1165"/>
      <c r="MAH54" s="1165"/>
      <c r="MAI54" s="1165"/>
      <c r="MAJ54" s="1165"/>
      <c r="MAK54" s="1165"/>
      <c r="MAL54" s="1165"/>
      <c r="MAM54" s="1165"/>
      <c r="MAN54" s="1165"/>
      <c r="MAO54" s="1165"/>
      <c r="MAP54" s="1165"/>
      <c r="MAQ54" s="1165"/>
      <c r="MAR54" s="1165"/>
      <c r="MAS54" s="1165"/>
      <c r="MAT54" s="1165"/>
      <c r="MAU54" s="1165"/>
      <c r="MAV54" s="1165"/>
      <c r="MAW54" s="1165"/>
      <c r="MAX54" s="1165"/>
      <c r="MAY54" s="1165"/>
      <c r="MAZ54" s="1165"/>
      <c r="MBA54" s="1165"/>
      <c r="MBB54" s="1165"/>
      <c r="MBC54" s="1165"/>
      <c r="MBD54" s="1165"/>
      <c r="MBE54" s="1165"/>
      <c r="MBF54" s="1165"/>
      <c r="MBG54" s="1165"/>
      <c r="MBH54" s="1165"/>
      <c r="MBI54" s="1165"/>
      <c r="MBJ54" s="1165"/>
      <c r="MBK54" s="1165"/>
      <c r="MBL54" s="1165"/>
      <c r="MBM54" s="1165"/>
      <c r="MBN54" s="1165"/>
      <c r="MBO54" s="1165"/>
      <c r="MBP54" s="1165"/>
      <c r="MBQ54" s="1165"/>
      <c r="MBR54" s="1165"/>
      <c r="MBS54" s="1165"/>
      <c r="MBT54" s="1165"/>
      <c r="MBU54" s="1165"/>
      <c r="MBV54" s="1165"/>
      <c r="MBW54" s="1165"/>
      <c r="MBX54" s="1165"/>
      <c r="MBY54" s="1165"/>
      <c r="MBZ54" s="1165"/>
      <c r="MCA54" s="1165"/>
      <c r="MCB54" s="1165"/>
      <c r="MCC54" s="1165"/>
      <c r="MCD54" s="1165"/>
      <c r="MCE54" s="1165"/>
      <c r="MCF54" s="1165"/>
      <c r="MCG54" s="1165"/>
      <c r="MCH54" s="1165"/>
      <c r="MCI54" s="1165"/>
      <c r="MCJ54" s="1165"/>
      <c r="MCK54" s="1165"/>
      <c r="MCL54" s="1165"/>
      <c r="MCM54" s="1165"/>
      <c r="MCN54" s="1165"/>
      <c r="MCO54" s="1165"/>
      <c r="MCP54" s="1165"/>
      <c r="MCQ54" s="1165"/>
      <c r="MCR54" s="1165"/>
      <c r="MCS54" s="1165"/>
      <c r="MCT54" s="1165"/>
      <c r="MCU54" s="1165"/>
      <c r="MCV54" s="1165"/>
      <c r="MCW54" s="1165"/>
      <c r="MCX54" s="1165"/>
      <c r="MCY54" s="1165"/>
      <c r="MCZ54" s="1165"/>
      <c r="MDA54" s="1165"/>
      <c r="MDB54" s="1165"/>
      <c r="MDC54" s="1165"/>
      <c r="MDD54" s="1165"/>
      <c r="MDE54" s="1165"/>
      <c r="MDF54" s="1165"/>
      <c r="MDG54" s="1165"/>
      <c r="MDH54" s="1165"/>
      <c r="MDI54" s="1165"/>
      <c r="MDJ54" s="1165"/>
      <c r="MDK54" s="1165"/>
      <c r="MDL54" s="1165"/>
      <c r="MDM54" s="1165"/>
      <c r="MDN54" s="1165"/>
      <c r="MDO54" s="1165"/>
      <c r="MDP54" s="1165"/>
      <c r="MDQ54" s="1165"/>
      <c r="MDR54" s="1165"/>
      <c r="MDS54" s="1165"/>
      <c r="MDT54" s="1165"/>
      <c r="MDU54" s="1165"/>
      <c r="MDV54" s="1165"/>
      <c r="MDW54" s="1165"/>
      <c r="MDX54" s="1165"/>
      <c r="MDY54" s="1165"/>
      <c r="MDZ54" s="1165"/>
      <c r="MEA54" s="1165"/>
      <c r="MEB54" s="1165"/>
      <c r="MEC54" s="1165"/>
      <c r="MED54" s="1165"/>
      <c r="MEE54" s="1165"/>
      <c r="MEF54" s="1165"/>
      <c r="MEG54" s="1165"/>
      <c r="MEH54" s="1165"/>
      <c r="MEI54" s="1165"/>
      <c r="MEJ54" s="1165"/>
      <c r="MEK54" s="1165"/>
      <c r="MEL54" s="1165"/>
      <c r="MEM54" s="1165"/>
      <c r="MEN54" s="1165"/>
      <c r="MEO54" s="1165"/>
      <c r="MEP54" s="1165"/>
      <c r="MEQ54" s="1165"/>
      <c r="MER54" s="1165"/>
      <c r="MES54" s="1165"/>
      <c r="MET54" s="1165"/>
      <c r="MEU54" s="1165"/>
      <c r="MEV54" s="1165"/>
      <c r="MEW54" s="1165"/>
      <c r="MEX54" s="1165"/>
      <c r="MEY54" s="1165"/>
      <c r="MEZ54" s="1165"/>
      <c r="MFA54" s="1165"/>
      <c r="MFB54" s="1165"/>
      <c r="MFC54" s="1165"/>
      <c r="MFD54" s="1165"/>
      <c r="MFE54" s="1165"/>
      <c r="MFF54" s="1165"/>
      <c r="MFG54" s="1165"/>
      <c r="MFH54" s="1165"/>
      <c r="MFI54" s="1165"/>
      <c r="MFJ54" s="1165"/>
      <c r="MFK54" s="1165"/>
      <c r="MFL54" s="1165"/>
      <c r="MFM54" s="1165"/>
      <c r="MFN54" s="1165"/>
      <c r="MFO54" s="1165"/>
      <c r="MFP54" s="1165"/>
      <c r="MFQ54" s="1165"/>
      <c r="MFR54" s="1165"/>
      <c r="MFS54" s="1165"/>
      <c r="MFT54" s="1165"/>
      <c r="MFU54" s="1165"/>
      <c r="MFV54" s="1165"/>
      <c r="MFW54" s="1165"/>
      <c r="MFX54" s="1165"/>
      <c r="MFY54" s="1165"/>
      <c r="MFZ54" s="1165"/>
      <c r="MGA54" s="1165"/>
      <c r="MGB54" s="1165"/>
      <c r="MGC54" s="1165"/>
      <c r="MGD54" s="1165"/>
      <c r="MGE54" s="1165"/>
      <c r="MGF54" s="1165"/>
      <c r="MGG54" s="1165"/>
      <c r="MGH54" s="1165"/>
      <c r="MGI54" s="1165"/>
      <c r="MGJ54" s="1165"/>
      <c r="MGK54" s="1165"/>
      <c r="MGL54" s="1165"/>
      <c r="MGM54" s="1165"/>
      <c r="MGN54" s="1165"/>
      <c r="MGO54" s="1165"/>
      <c r="MGP54" s="1165"/>
      <c r="MGQ54" s="1165"/>
      <c r="MGR54" s="1165"/>
      <c r="MGS54" s="1165"/>
      <c r="MGT54" s="1165"/>
      <c r="MGU54" s="1165"/>
      <c r="MGV54" s="1165"/>
      <c r="MGW54" s="1165"/>
      <c r="MGX54" s="1165"/>
      <c r="MGY54" s="1165"/>
      <c r="MGZ54" s="1165"/>
      <c r="MHA54" s="1165"/>
      <c r="MHB54" s="1165"/>
      <c r="MHC54" s="1165"/>
      <c r="MHD54" s="1165"/>
      <c r="MHE54" s="1165"/>
      <c r="MHF54" s="1165"/>
      <c r="MHG54" s="1165"/>
      <c r="MHH54" s="1165"/>
      <c r="MHI54" s="1165"/>
      <c r="MHJ54" s="1165"/>
      <c r="MHK54" s="1165"/>
      <c r="MHL54" s="1165"/>
      <c r="MHM54" s="1165"/>
      <c r="MHN54" s="1165"/>
      <c r="MHO54" s="1165"/>
      <c r="MHP54" s="1165"/>
      <c r="MHQ54" s="1165"/>
      <c r="MHR54" s="1165"/>
      <c r="MHS54" s="1165"/>
      <c r="MHT54" s="1165"/>
      <c r="MHU54" s="1165"/>
      <c r="MHV54" s="1165"/>
      <c r="MHW54" s="1165"/>
      <c r="MHX54" s="1165"/>
      <c r="MHY54" s="1165"/>
      <c r="MHZ54" s="1165"/>
      <c r="MIA54" s="1165"/>
      <c r="MIB54" s="1165"/>
      <c r="MIC54" s="1165"/>
      <c r="MID54" s="1165"/>
      <c r="MIE54" s="1165"/>
      <c r="MIF54" s="1165"/>
      <c r="MIG54" s="1165"/>
      <c r="MIH54" s="1165"/>
      <c r="MII54" s="1165"/>
      <c r="MIJ54" s="1165"/>
      <c r="MIK54" s="1165"/>
      <c r="MIL54" s="1165"/>
      <c r="MIM54" s="1165"/>
      <c r="MIN54" s="1165"/>
      <c r="MIO54" s="1165"/>
      <c r="MIP54" s="1165"/>
      <c r="MIQ54" s="1165"/>
      <c r="MIR54" s="1165"/>
      <c r="MIS54" s="1165"/>
      <c r="MIT54" s="1165"/>
      <c r="MIU54" s="1165"/>
      <c r="MIV54" s="1165"/>
      <c r="MIW54" s="1165"/>
      <c r="MIX54" s="1165"/>
      <c r="MIY54" s="1165"/>
      <c r="MIZ54" s="1165"/>
      <c r="MJA54" s="1165"/>
      <c r="MJB54" s="1165"/>
      <c r="MJC54" s="1165"/>
      <c r="MJD54" s="1165"/>
      <c r="MJE54" s="1165"/>
      <c r="MJF54" s="1165"/>
      <c r="MJG54" s="1165"/>
      <c r="MJH54" s="1165"/>
      <c r="MJI54" s="1165"/>
      <c r="MJJ54" s="1165"/>
      <c r="MJK54" s="1165"/>
      <c r="MJL54" s="1165"/>
      <c r="MJM54" s="1165"/>
      <c r="MJN54" s="1165"/>
      <c r="MJO54" s="1165"/>
      <c r="MJP54" s="1165"/>
      <c r="MJQ54" s="1165"/>
      <c r="MJR54" s="1165"/>
      <c r="MJS54" s="1165"/>
      <c r="MJT54" s="1165"/>
      <c r="MJU54" s="1165"/>
      <c r="MJV54" s="1165"/>
      <c r="MJW54" s="1165"/>
      <c r="MJX54" s="1165"/>
      <c r="MJY54" s="1165"/>
      <c r="MJZ54" s="1165"/>
      <c r="MKA54" s="1165"/>
      <c r="MKB54" s="1165"/>
      <c r="MKC54" s="1165"/>
      <c r="MKD54" s="1165"/>
      <c r="MKE54" s="1165"/>
      <c r="MKF54" s="1165"/>
      <c r="MKG54" s="1165"/>
      <c r="MKH54" s="1165"/>
      <c r="MKI54" s="1165"/>
      <c r="MKJ54" s="1165"/>
      <c r="MKK54" s="1165"/>
      <c r="MKL54" s="1165"/>
      <c r="MKM54" s="1165"/>
      <c r="MKN54" s="1165"/>
      <c r="MKO54" s="1165"/>
      <c r="MKP54" s="1165"/>
      <c r="MKQ54" s="1165"/>
      <c r="MKR54" s="1165"/>
      <c r="MKS54" s="1165"/>
      <c r="MKT54" s="1165"/>
      <c r="MKU54" s="1165"/>
      <c r="MKV54" s="1165"/>
      <c r="MKW54" s="1165"/>
      <c r="MKX54" s="1165"/>
      <c r="MKY54" s="1165"/>
      <c r="MKZ54" s="1165"/>
      <c r="MLA54" s="1165"/>
      <c r="MLB54" s="1165"/>
      <c r="MLC54" s="1165"/>
      <c r="MLD54" s="1165"/>
      <c r="MLE54" s="1165"/>
      <c r="MLF54" s="1165"/>
      <c r="MLG54" s="1165"/>
      <c r="MLH54" s="1165"/>
      <c r="MLI54" s="1165"/>
      <c r="MLJ54" s="1165"/>
      <c r="MLK54" s="1165"/>
      <c r="MLL54" s="1165"/>
      <c r="MLM54" s="1165"/>
      <c r="MLN54" s="1165"/>
      <c r="MLO54" s="1165"/>
      <c r="MLP54" s="1165"/>
      <c r="MLQ54" s="1165"/>
      <c r="MLR54" s="1165"/>
      <c r="MLS54" s="1165"/>
      <c r="MLT54" s="1165"/>
      <c r="MLU54" s="1165"/>
      <c r="MLV54" s="1165"/>
      <c r="MLW54" s="1165"/>
      <c r="MLX54" s="1165"/>
      <c r="MLY54" s="1165"/>
      <c r="MLZ54" s="1165"/>
      <c r="MMA54" s="1165"/>
      <c r="MMB54" s="1165"/>
      <c r="MMC54" s="1165"/>
      <c r="MMD54" s="1165"/>
      <c r="MME54" s="1165"/>
      <c r="MMF54" s="1165"/>
      <c r="MMG54" s="1165"/>
      <c r="MMH54" s="1165"/>
      <c r="MMI54" s="1165"/>
      <c r="MMJ54" s="1165"/>
      <c r="MMK54" s="1165"/>
      <c r="MML54" s="1165"/>
      <c r="MMM54" s="1165"/>
      <c r="MMN54" s="1165"/>
      <c r="MMO54" s="1165"/>
      <c r="MMP54" s="1165"/>
      <c r="MMQ54" s="1165"/>
      <c r="MMR54" s="1165"/>
      <c r="MMS54" s="1165"/>
      <c r="MMT54" s="1165"/>
      <c r="MMU54" s="1165"/>
      <c r="MMV54" s="1165"/>
      <c r="MMW54" s="1165"/>
      <c r="MMX54" s="1165"/>
      <c r="MMY54" s="1165"/>
      <c r="MMZ54" s="1165"/>
      <c r="MNA54" s="1165"/>
      <c r="MNB54" s="1165"/>
      <c r="MNC54" s="1165"/>
      <c r="MND54" s="1165"/>
      <c r="MNE54" s="1165"/>
      <c r="MNF54" s="1165"/>
      <c r="MNG54" s="1165"/>
      <c r="MNH54" s="1165"/>
      <c r="MNI54" s="1165"/>
      <c r="MNJ54" s="1165"/>
      <c r="MNK54" s="1165"/>
      <c r="MNL54" s="1165"/>
      <c r="MNM54" s="1165"/>
      <c r="MNN54" s="1165"/>
      <c r="MNO54" s="1165"/>
      <c r="MNP54" s="1165"/>
      <c r="MNQ54" s="1165"/>
      <c r="MNR54" s="1165"/>
      <c r="MNS54" s="1165"/>
      <c r="MNT54" s="1165"/>
      <c r="MNU54" s="1165"/>
      <c r="MNV54" s="1165"/>
      <c r="MNW54" s="1165"/>
      <c r="MNX54" s="1165"/>
      <c r="MNY54" s="1165"/>
      <c r="MNZ54" s="1165"/>
      <c r="MOA54" s="1165"/>
      <c r="MOB54" s="1165"/>
      <c r="MOC54" s="1165"/>
      <c r="MOD54" s="1165"/>
      <c r="MOE54" s="1165"/>
      <c r="MOF54" s="1165"/>
      <c r="MOG54" s="1165"/>
      <c r="MOH54" s="1165"/>
      <c r="MOI54" s="1165"/>
      <c r="MOJ54" s="1165"/>
      <c r="MOK54" s="1165"/>
      <c r="MOL54" s="1165"/>
      <c r="MOM54" s="1165"/>
      <c r="MON54" s="1165"/>
      <c r="MOO54" s="1165"/>
      <c r="MOP54" s="1165"/>
      <c r="MOQ54" s="1165"/>
      <c r="MOR54" s="1165"/>
      <c r="MOS54" s="1165"/>
      <c r="MOT54" s="1165"/>
      <c r="MOU54" s="1165"/>
      <c r="MOV54" s="1165"/>
      <c r="MOW54" s="1165"/>
      <c r="MOX54" s="1165"/>
      <c r="MOY54" s="1165"/>
      <c r="MOZ54" s="1165"/>
      <c r="MPA54" s="1165"/>
      <c r="MPB54" s="1165"/>
      <c r="MPC54" s="1165"/>
      <c r="MPD54" s="1165"/>
      <c r="MPE54" s="1165"/>
      <c r="MPF54" s="1165"/>
      <c r="MPG54" s="1165"/>
      <c r="MPH54" s="1165"/>
      <c r="MPI54" s="1165"/>
      <c r="MPJ54" s="1165"/>
      <c r="MPK54" s="1165"/>
      <c r="MPL54" s="1165"/>
      <c r="MPM54" s="1165"/>
      <c r="MPN54" s="1165"/>
      <c r="MPO54" s="1165"/>
      <c r="MPP54" s="1165"/>
      <c r="MPQ54" s="1165"/>
      <c r="MPR54" s="1165"/>
      <c r="MPS54" s="1165"/>
      <c r="MPT54" s="1165"/>
      <c r="MPU54" s="1165"/>
      <c r="MPV54" s="1165"/>
      <c r="MPW54" s="1165"/>
      <c r="MPX54" s="1165"/>
      <c r="MPY54" s="1165"/>
      <c r="MPZ54" s="1165"/>
      <c r="MQA54" s="1165"/>
      <c r="MQB54" s="1165"/>
      <c r="MQC54" s="1165"/>
      <c r="MQD54" s="1165"/>
      <c r="MQE54" s="1165"/>
      <c r="MQF54" s="1165"/>
      <c r="MQG54" s="1165"/>
      <c r="MQH54" s="1165"/>
      <c r="MQI54" s="1165"/>
      <c r="MQJ54" s="1165"/>
      <c r="MQK54" s="1165"/>
      <c r="MQL54" s="1165"/>
      <c r="MQM54" s="1165"/>
      <c r="MQN54" s="1165"/>
      <c r="MQO54" s="1165"/>
      <c r="MQP54" s="1165"/>
      <c r="MQQ54" s="1165"/>
      <c r="MQR54" s="1165"/>
      <c r="MQS54" s="1165"/>
      <c r="MQT54" s="1165"/>
      <c r="MQU54" s="1165"/>
      <c r="MQV54" s="1165"/>
      <c r="MQW54" s="1165"/>
      <c r="MQX54" s="1165"/>
      <c r="MQY54" s="1165"/>
      <c r="MQZ54" s="1165"/>
      <c r="MRA54" s="1165"/>
      <c r="MRB54" s="1165"/>
      <c r="MRC54" s="1165"/>
      <c r="MRD54" s="1165"/>
      <c r="MRE54" s="1165"/>
      <c r="MRF54" s="1165"/>
      <c r="MRG54" s="1165"/>
      <c r="MRH54" s="1165"/>
      <c r="MRI54" s="1165"/>
      <c r="MRJ54" s="1165"/>
      <c r="MRK54" s="1165"/>
      <c r="MRL54" s="1165"/>
      <c r="MRM54" s="1165"/>
      <c r="MRN54" s="1165"/>
      <c r="MRO54" s="1165"/>
      <c r="MRP54" s="1165"/>
      <c r="MRQ54" s="1165"/>
      <c r="MRR54" s="1165"/>
      <c r="MRS54" s="1165"/>
      <c r="MRT54" s="1165"/>
      <c r="MRU54" s="1165"/>
      <c r="MRV54" s="1165"/>
      <c r="MRW54" s="1165"/>
      <c r="MRX54" s="1165"/>
      <c r="MRY54" s="1165"/>
      <c r="MRZ54" s="1165"/>
      <c r="MSA54" s="1165"/>
      <c r="MSB54" s="1165"/>
      <c r="MSC54" s="1165"/>
      <c r="MSD54" s="1165"/>
      <c r="MSE54" s="1165"/>
      <c r="MSF54" s="1165"/>
      <c r="MSG54" s="1165"/>
      <c r="MSH54" s="1165"/>
      <c r="MSI54" s="1165"/>
      <c r="MSJ54" s="1165"/>
      <c r="MSK54" s="1165"/>
      <c r="MSL54" s="1165"/>
      <c r="MSM54" s="1165"/>
      <c r="MSN54" s="1165"/>
      <c r="MSO54" s="1165"/>
      <c r="MSP54" s="1165"/>
      <c r="MSQ54" s="1165"/>
      <c r="MSR54" s="1165"/>
      <c r="MSS54" s="1165"/>
      <c r="MST54" s="1165"/>
      <c r="MSU54" s="1165"/>
      <c r="MSV54" s="1165"/>
      <c r="MSW54" s="1165"/>
      <c r="MSX54" s="1165"/>
      <c r="MSY54" s="1165"/>
      <c r="MSZ54" s="1165"/>
      <c r="MTA54" s="1165"/>
      <c r="MTB54" s="1165"/>
      <c r="MTC54" s="1165"/>
      <c r="MTD54" s="1165"/>
      <c r="MTE54" s="1165"/>
      <c r="MTF54" s="1165"/>
      <c r="MTG54" s="1165"/>
      <c r="MTH54" s="1165"/>
      <c r="MTI54" s="1165"/>
      <c r="MTJ54" s="1165"/>
      <c r="MTK54" s="1165"/>
      <c r="MTL54" s="1165"/>
      <c r="MTM54" s="1165"/>
      <c r="MTN54" s="1165"/>
      <c r="MTO54" s="1165"/>
      <c r="MTP54" s="1165"/>
      <c r="MTQ54" s="1165"/>
      <c r="MTR54" s="1165"/>
      <c r="MTS54" s="1165"/>
      <c r="MTT54" s="1165"/>
      <c r="MTU54" s="1165"/>
      <c r="MTV54" s="1165"/>
      <c r="MTW54" s="1165"/>
      <c r="MTX54" s="1165"/>
      <c r="MTY54" s="1165"/>
      <c r="MTZ54" s="1165"/>
      <c r="MUA54" s="1165"/>
      <c r="MUB54" s="1165"/>
      <c r="MUC54" s="1165"/>
      <c r="MUD54" s="1165"/>
      <c r="MUE54" s="1165"/>
      <c r="MUF54" s="1165"/>
      <c r="MUG54" s="1165"/>
      <c r="MUH54" s="1165"/>
      <c r="MUI54" s="1165"/>
      <c r="MUJ54" s="1165"/>
      <c r="MUK54" s="1165"/>
      <c r="MUL54" s="1165"/>
      <c r="MUM54" s="1165"/>
      <c r="MUN54" s="1165"/>
      <c r="MUO54" s="1165"/>
      <c r="MUP54" s="1165"/>
      <c r="MUQ54" s="1165"/>
      <c r="MUR54" s="1165"/>
      <c r="MUS54" s="1165"/>
      <c r="MUT54" s="1165"/>
      <c r="MUU54" s="1165"/>
      <c r="MUV54" s="1165"/>
      <c r="MUW54" s="1165"/>
      <c r="MUX54" s="1165"/>
      <c r="MUY54" s="1165"/>
      <c r="MUZ54" s="1165"/>
      <c r="MVA54" s="1165"/>
      <c r="MVB54" s="1165"/>
      <c r="MVC54" s="1165"/>
      <c r="MVD54" s="1165"/>
      <c r="MVE54" s="1165"/>
      <c r="MVF54" s="1165"/>
      <c r="MVG54" s="1165"/>
      <c r="MVH54" s="1165"/>
      <c r="MVI54" s="1165"/>
      <c r="MVJ54" s="1165"/>
      <c r="MVK54" s="1165"/>
      <c r="MVL54" s="1165"/>
      <c r="MVM54" s="1165"/>
      <c r="MVN54" s="1165"/>
      <c r="MVO54" s="1165"/>
      <c r="MVP54" s="1165"/>
      <c r="MVQ54" s="1165"/>
      <c r="MVR54" s="1165"/>
      <c r="MVS54" s="1165"/>
      <c r="MVT54" s="1165"/>
      <c r="MVU54" s="1165"/>
      <c r="MVV54" s="1165"/>
      <c r="MVW54" s="1165"/>
      <c r="MVX54" s="1165"/>
      <c r="MVY54" s="1165"/>
      <c r="MVZ54" s="1165"/>
      <c r="MWA54" s="1165"/>
      <c r="MWB54" s="1165"/>
      <c r="MWC54" s="1165"/>
      <c r="MWD54" s="1165"/>
      <c r="MWE54" s="1165"/>
      <c r="MWF54" s="1165"/>
      <c r="MWG54" s="1165"/>
      <c r="MWH54" s="1165"/>
      <c r="MWI54" s="1165"/>
      <c r="MWJ54" s="1165"/>
      <c r="MWK54" s="1165"/>
      <c r="MWL54" s="1165"/>
      <c r="MWM54" s="1165"/>
      <c r="MWN54" s="1165"/>
      <c r="MWO54" s="1165"/>
      <c r="MWP54" s="1165"/>
      <c r="MWQ54" s="1165"/>
      <c r="MWR54" s="1165"/>
      <c r="MWS54" s="1165"/>
      <c r="MWT54" s="1165"/>
      <c r="MWU54" s="1165"/>
      <c r="MWV54" s="1165"/>
      <c r="MWW54" s="1165"/>
      <c r="MWX54" s="1165"/>
      <c r="MWY54" s="1165"/>
      <c r="MWZ54" s="1165"/>
      <c r="MXA54" s="1165"/>
      <c r="MXB54" s="1165"/>
      <c r="MXC54" s="1165"/>
      <c r="MXD54" s="1165"/>
      <c r="MXE54" s="1165"/>
      <c r="MXF54" s="1165"/>
      <c r="MXG54" s="1165"/>
      <c r="MXH54" s="1165"/>
      <c r="MXI54" s="1165"/>
      <c r="MXJ54" s="1165"/>
      <c r="MXK54" s="1165"/>
      <c r="MXL54" s="1165"/>
      <c r="MXM54" s="1165"/>
      <c r="MXN54" s="1165"/>
      <c r="MXO54" s="1165"/>
      <c r="MXP54" s="1165"/>
      <c r="MXQ54" s="1165"/>
      <c r="MXR54" s="1165"/>
      <c r="MXS54" s="1165"/>
      <c r="MXT54" s="1165"/>
      <c r="MXU54" s="1165"/>
      <c r="MXV54" s="1165"/>
      <c r="MXW54" s="1165"/>
      <c r="MXX54" s="1165"/>
      <c r="MXY54" s="1165"/>
      <c r="MXZ54" s="1165"/>
      <c r="MYA54" s="1165"/>
      <c r="MYB54" s="1165"/>
      <c r="MYC54" s="1165"/>
      <c r="MYD54" s="1165"/>
      <c r="MYE54" s="1165"/>
      <c r="MYF54" s="1165"/>
      <c r="MYG54" s="1165"/>
      <c r="MYH54" s="1165"/>
      <c r="MYI54" s="1165"/>
      <c r="MYJ54" s="1165"/>
      <c r="MYK54" s="1165"/>
      <c r="MYL54" s="1165"/>
      <c r="MYM54" s="1165"/>
      <c r="MYN54" s="1165"/>
      <c r="MYO54" s="1165"/>
      <c r="MYP54" s="1165"/>
      <c r="MYQ54" s="1165"/>
      <c r="MYR54" s="1165"/>
      <c r="MYS54" s="1165"/>
      <c r="MYT54" s="1165"/>
      <c r="MYU54" s="1165"/>
      <c r="MYV54" s="1165"/>
      <c r="MYW54" s="1165"/>
      <c r="MYX54" s="1165"/>
      <c r="MYY54" s="1165"/>
      <c r="MYZ54" s="1165"/>
      <c r="MZA54" s="1165"/>
      <c r="MZB54" s="1165"/>
      <c r="MZC54" s="1165"/>
      <c r="MZD54" s="1165"/>
      <c r="MZE54" s="1165"/>
      <c r="MZF54" s="1165"/>
      <c r="MZG54" s="1165"/>
      <c r="MZH54" s="1165"/>
      <c r="MZI54" s="1165"/>
      <c r="MZJ54" s="1165"/>
      <c r="MZK54" s="1165"/>
      <c r="MZL54" s="1165"/>
      <c r="MZM54" s="1165"/>
      <c r="MZN54" s="1165"/>
      <c r="MZO54" s="1165"/>
      <c r="MZP54" s="1165"/>
      <c r="MZQ54" s="1165"/>
      <c r="MZR54" s="1165"/>
      <c r="MZS54" s="1165"/>
      <c r="MZT54" s="1165"/>
      <c r="MZU54" s="1165"/>
      <c r="MZV54" s="1165"/>
      <c r="MZW54" s="1165"/>
      <c r="MZX54" s="1165"/>
      <c r="MZY54" s="1165"/>
      <c r="MZZ54" s="1165"/>
      <c r="NAA54" s="1165"/>
      <c r="NAB54" s="1165"/>
      <c r="NAC54" s="1165"/>
      <c r="NAD54" s="1165"/>
      <c r="NAE54" s="1165"/>
      <c r="NAF54" s="1165"/>
      <c r="NAG54" s="1165"/>
      <c r="NAH54" s="1165"/>
      <c r="NAI54" s="1165"/>
      <c r="NAJ54" s="1165"/>
      <c r="NAK54" s="1165"/>
      <c r="NAL54" s="1165"/>
      <c r="NAM54" s="1165"/>
      <c r="NAN54" s="1165"/>
      <c r="NAO54" s="1165"/>
      <c r="NAP54" s="1165"/>
      <c r="NAQ54" s="1165"/>
      <c r="NAR54" s="1165"/>
      <c r="NAS54" s="1165"/>
      <c r="NAT54" s="1165"/>
      <c r="NAU54" s="1165"/>
      <c r="NAV54" s="1165"/>
      <c r="NAW54" s="1165"/>
      <c r="NAX54" s="1165"/>
      <c r="NAY54" s="1165"/>
      <c r="NAZ54" s="1165"/>
      <c r="NBA54" s="1165"/>
      <c r="NBB54" s="1165"/>
      <c r="NBC54" s="1165"/>
      <c r="NBD54" s="1165"/>
      <c r="NBE54" s="1165"/>
      <c r="NBF54" s="1165"/>
      <c r="NBG54" s="1165"/>
      <c r="NBH54" s="1165"/>
      <c r="NBI54" s="1165"/>
      <c r="NBJ54" s="1165"/>
      <c r="NBK54" s="1165"/>
      <c r="NBL54" s="1165"/>
      <c r="NBM54" s="1165"/>
      <c r="NBN54" s="1165"/>
      <c r="NBO54" s="1165"/>
      <c r="NBP54" s="1165"/>
      <c r="NBQ54" s="1165"/>
      <c r="NBR54" s="1165"/>
      <c r="NBS54" s="1165"/>
      <c r="NBT54" s="1165"/>
      <c r="NBU54" s="1165"/>
      <c r="NBV54" s="1165"/>
      <c r="NBW54" s="1165"/>
      <c r="NBX54" s="1165"/>
      <c r="NBY54" s="1165"/>
      <c r="NBZ54" s="1165"/>
      <c r="NCA54" s="1165"/>
      <c r="NCB54" s="1165"/>
      <c r="NCC54" s="1165"/>
      <c r="NCD54" s="1165"/>
      <c r="NCE54" s="1165"/>
      <c r="NCF54" s="1165"/>
      <c r="NCG54" s="1165"/>
      <c r="NCH54" s="1165"/>
      <c r="NCI54" s="1165"/>
      <c r="NCJ54" s="1165"/>
      <c r="NCK54" s="1165"/>
      <c r="NCL54" s="1165"/>
      <c r="NCM54" s="1165"/>
      <c r="NCN54" s="1165"/>
      <c r="NCO54" s="1165"/>
      <c r="NCP54" s="1165"/>
      <c r="NCQ54" s="1165"/>
      <c r="NCR54" s="1165"/>
      <c r="NCS54" s="1165"/>
      <c r="NCT54" s="1165"/>
      <c r="NCU54" s="1165"/>
      <c r="NCV54" s="1165"/>
      <c r="NCW54" s="1165"/>
      <c r="NCX54" s="1165"/>
      <c r="NCY54" s="1165"/>
      <c r="NCZ54" s="1165"/>
      <c r="NDA54" s="1165"/>
      <c r="NDB54" s="1165"/>
      <c r="NDC54" s="1165"/>
      <c r="NDD54" s="1165"/>
      <c r="NDE54" s="1165"/>
      <c r="NDF54" s="1165"/>
      <c r="NDG54" s="1165"/>
      <c r="NDH54" s="1165"/>
      <c r="NDI54" s="1165"/>
      <c r="NDJ54" s="1165"/>
      <c r="NDK54" s="1165"/>
      <c r="NDL54" s="1165"/>
      <c r="NDM54" s="1165"/>
      <c r="NDN54" s="1165"/>
      <c r="NDO54" s="1165"/>
      <c r="NDP54" s="1165"/>
      <c r="NDQ54" s="1165"/>
      <c r="NDR54" s="1165"/>
      <c r="NDS54" s="1165"/>
      <c r="NDT54" s="1165"/>
      <c r="NDU54" s="1165"/>
      <c r="NDV54" s="1165"/>
      <c r="NDW54" s="1165"/>
      <c r="NDX54" s="1165"/>
      <c r="NDY54" s="1165"/>
      <c r="NDZ54" s="1165"/>
      <c r="NEA54" s="1165"/>
      <c r="NEB54" s="1165"/>
      <c r="NEC54" s="1165"/>
      <c r="NED54" s="1165"/>
      <c r="NEE54" s="1165"/>
      <c r="NEF54" s="1165"/>
      <c r="NEG54" s="1165"/>
      <c r="NEH54" s="1165"/>
      <c r="NEI54" s="1165"/>
      <c r="NEJ54" s="1165"/>
      <c r="NEK54" s="1165"/>
      <c r="NEL54" s="1165"/>
      <c r="NEM54" s="1165"/>
      <c r="NEN54" s="1165"/>
      <c r="NEO54" s="1165"/>
      <c r="NEP54" s="1165"/>
      <c r="NEQ54" s="1165"/>
      <c r="NER54" s="1165"/>
      <c r="NES54" s="1165"/>
      <c r="NET54" s="1165"/>
      <c r="NEU54" s="1165"/>
      <c r="NEV54" s="1165"/>
      <c r="NEW54" s="1165"/>
      <c r="NEX54" s="1165"/>
      <c r="NEY54" s="1165"/>
      <c r="NEZ54" s="1165"/>
      <c r="NFA54" s="1165"/>
      <c r="NFB54" s="1165"/>
      <c r="NFC54" s="1165"/>
      <c r="NFD54" s="1165"/>
      <c r="NFE54" s="1165"/>
      <c r="NFF54" s="1165"/>
      <c r="NFG54" s="1165"/>
      <c r="NFH54" s="1165"/>
      <c r="NFI54" s="1165"/>
      <c r="NFJ54" s="1165"/>
      <c r="NFK54" s="1165"/>
      <c r="NFL54" s="1165"/>
      <c r="NFM54" s="1165"/>
      <c r="NFN54" s="1165"/>
      <c r="NFO54" s="1165"/>
      <c r="NFP54" s="1165"/>
      <c r="NFQ54" s="1165"/>
      <c r="NFR54" s="1165"/>
      <c r="NFS54" s="1165"/>
      <c r="NFT54" s="1165"/>
      <c r="NFU54" s="1165"/>
      <c r="NFV54" s="1165"/>
      <c r="NFW54" s="1165"/>
      <c r="NFX54" s="1165"/>
      <c r="NFY54" s="1165"/>
      <c r="NFZ54" s="1165"/>
      <c r="NGA54" s="1165"/>
      <c r="NGB54" s="1165"/>
      <c r="NGC54" s="1165"/>
      <c r="NGD54" s="1165"/>
      <c r="NGE54" s="1165"/>
      <c r="NGF54" s="1165"/>
      <c r="NGG54" s="1165"/>
      <c r="NGH54" s="1165"/>
      <c r="NGI54" s="1165"/>
      <c r="NGJ54" s="1165"/>
      <c r="NGK54" s="1165"/>
      <c r="NGL54" s="1165"/>
      <c r="NGM54" s="1165"/>
      <c r="NGN54" s="1165"/>
      <c r="NGO54" s="1165"/>
      <c r="NGP54" s="1165"/>
      <c r="NGQ54" s="1165"/>
      <c r="NGR54" s="1165"/>
      <c r="NGS54" s="1165"/>
      <c r="NGT54" s="1165"/>
      <c r="NGU54" s="1165"/>
      <c r="NGV54" s="1165"/>
      <c r="NGW54" s="1165"/>
      <c r="NGX54" s="1165"/>
      <c r="NGY54" s="1165"/>
      <c r="NGZ54" s="1165"/>
      <c r="NHA54" s="1165"/>
      <c r="NHB54" s="1165"/>
      <c r="NHC54" s="1165"/>
      <c r="NHD54" s="1165"/>
      <c r="NHE54" s="1165"/>
      <c r="NHF54" s="1165"/>
      <c r="NHG54" s="1165"/>
      <c r="NHH54" s="1165"/>
      <c r="NHI54" s="1165"/>
      <c r="NHJ54" s="1165"/>
      <c r="NHK54" s="1165"/>
      <c r="NHL54" s="1165"/>
      <c r="NHM54" s="1165"/>
      <c r="NHN54" s="1165"/>
      <c r="NHO54" s="1165"/>
      <c r="NHP54" s="1165"/>
      <c r="NHQ54" s="1165"/>
      <c r="NHR54" s="1165"/>
      <c r="NHS54" s="1165"/>
      <c r="NHT54" s="1165"/>
      <c r="NHU54" s="1165"/>
      <c r="NHV54" s="1165"/>
      <c r="NHW54" s="1165"/>
      <c r="NHX54" s="1165"/>
      <c r="NHY54" s="1165"/>
      <c r="NHZ54" s="1165"/>
      <c r="NIA54" s="1165"/>
      <c r="NIB54" s="1165"/>
      <c r="NIC54" s="1165"/>
      <c r="NID54" s="1165"/>
      <c r="NIE54" s="1165"/>
      <c r="NIF54" s="1165"/>
      <c r="NIG54" s="1165"/>
      <c r="NIH54" s="1165"/>
      <c r="NII54" s="1165"/>
      <c r="NIJ54" s="1165"/>
      <c r="NIK54" s="1165"/>
      <c r="NIL54" s="1165"/>
      <c r="NIM54" s="1165"/>
      <c r="NIN54" s="1165"/>
      <c r="NIO54" s="1165"/>
      <c r="NIP54" s="1165"/>
      <c r="NIQ54" s="1165"/>
      <c r="NIR54" s="1165"/>
      <c r="NIS54" s="1165"/>
      <c r="NIT54" s="1165"/>
      <c r="NIU54" s="1165"/>
      <c r="NIV54" s="1165"/>
      <c r="NIW54" s="1165"/>
      <c r="NIX54" s="1165"/>
      <c r="NIY54" s="1165"/>
      <c r="NIZ54" s="1165"/>
      <c r="NJA54" s="1165"/>
      <c r="NJB54" s="1165"/>
      <c r="NJC54" s="1165"/>
      <c r="NJD54" s="1165"/>
      <c r="NJE54" s="1165"/>
      <c r="NJF54" s="1165"/>
      <c r="NJG54" s="1165"/>
      <c r="NJH54" s="1165"/>
      <c r="NJI54" s="1165"/>
      <c r="NJJ54" s="1165"/>
      <c r="NJK54" s="1165"/>
      <c r="NJL54" s="1165"/>
      <c r="NJM54" s="1165"/>
      <c r="NJN54" s="1165"/>
      <c r="NJO54" s="1165"/>
      <c r="NJP54" s="1165"/>
      <c r="NJQ54" s="1165"/>
      <c r="NJR54" s="1165"/>
      <c r="NJS54" s="1165"/>
      <c r="NJT54" s="1165"/>
      <c r="NJU54" s="1165"/>
      <c r="NJV54" s="1165"/>
      <c r="NJW54" s="1165"/>
      <c r="NJX54" s="1165"/>
      <c r="NJY54" s="1165"/>
      <c r="NJZ54" s="1165"/>
      <c r="NKA54" s="1165"/>
      <c r="NKB54" s="1165"/>
      <c r="NKC54" s="1165"/>
      <c r="NKD54" s="1165"/>
      <c r="NKE54" s="1165"/>
      <c r="NKF54" s="1165"/>
      <c r="NKG54" s="1165"/>
      <c r="NKH54" s="1165"/>
      <c r="NKI54" s="1165"/>
      <c r="NKJ54" s="1165"/>
      <c r="NKK54" s="1165"/>
      <c r="NKL54" s="1165"/>
      <c r="NKM54" s="1165"/>
      <c r="NKN54" s="1165"/>
      <c r="NKO54" s="1165"/>
      <c r="NKP54" s="1165"/>
      <c r="NKQ54" s="1165"/>
      <c r="NKR54" s="1165"/>
      <c r="NKS54" s="1165"/>
      <c r="NKT54" s="1165"/>
      <c r="NKU54" s="1165"/>
      <c r="NKV54" s="1165"/>
      <c r="NKW54" s="1165"/>
      <c r="NKX54" s="1165"/>
      <c r="NKY54" s="1165"/>
      <c r="NKZ54" s="1165"/>
      <c r="NLA54" s="1165"/>
      <c r="NLB54" s="1165"/>
      <c r="NLC54" s="1165"/>
      <c r="NLD54" s="1165"/>
      <c r="NLE54" s="1165"/>
      <c r="NLF54" s="1165"/>
      <c r="NLG54" s="1165"/>
      <c r="NLH54" s="1165"/>
      <c r="NLI54" s="1165"/>
      <c r="NLJ54" s="1165"/>
      <c r="NLK54" s="1165"/>
      <c r="NLL54" s="1165"/>
      <c r="NLM54" s="1165"/>
      <c r="NLN54" s="1165"/>
      <c r="NLO54" s="1165"/>
      <c r="NLP54" s="1165"/>
      <c r="NLQ54" s="1165"/>
      <c r="NLR54" s="1165"/>
      <c r="NLS54" s="1165"/>
      <c r="NLT54" s="1165"/>
      <c r="NLU54" s="1165"/>
      <c r="NLV54" s="1165"/>
      <c r="NLW54" s="1165"/>
      <c r="NLX54" s="1165"/>
      <c r="NLY54" s="1165"/>
      <c r="NLZ54" s="1165"/>
      <c r="NMA54" s="1165"/>
      <c r="NMB54" s="1165"/>
      <c r="NMC54" s="1165"/>
      <c r="NMD54" s="1165"/>
      <c r="NME54" s="1165"/>
      <c r="NMF54" s="1165"/>
      <c r="NMG54" s="1165"/>
      <c r="NMH54" s="1165"/>
      <c r="NMI54" s="1165"/>
      <c r="NMJ54" s="1165"/>
      <c r="NMK54" s="1165"/>
      <c r="NML54" s="1165"/>
      <c r="NMM54" s="1165"/>
      <c r="NMN54" s="1165"/>
      <c r="NMO54" s="1165"/>
      <c r="NMP54" s="1165"/>
      <c r="NMQ54" s="1165"/>
      <c r="NMR54" s="1165"/>
      <c r="NMS54" s="1165"/>
      <c r="NMT54" s="1165"/>
      <c r="NMU54" s="1165"/>
      <c r="NMV54" s="1165"/>
      <c r="NMW54" s="1165"/>
      <c r="NMX54" s="1165"/>
      <c r="NMY54" s="1165"/>
      <c r="NMZ54" s="1165"/>
      <c r="NNA54" s="1165"/>
      <c r="NNB54" s="1165"/>
      <c r="NNC54" s="1165"/>
      <c r="NND54" s="1165"/>
      <c r="NNE54" s="1165"/>
      <c r="NNF54" s="1165"/>
      <c r="NNG54" s="1165"/>
      <c r="NNH54" s="1165"/>
      <c r="NNI54" s="1165"/>
      <c r="NNJ54" s="1165"/>
      <c r="NNK54" s="1165"/>
      <c r="NNL54" s="1165"/>
      <c r="NNM54" s="1165"/>
      <c r="NNN54" s="1165"/>
      <c r="NNO54" s="1165"/>
      <c r="NNP54" s="1165"/>
      <c r="NNQ54" s="1165"/>
      <c r="NNR54" s="1165"/>
      <c r="NNS54" s="1165"/>
      <c r="NNT54" s="1165"/>
      <c r="NNU54" s="1165"/>
      <c r="NNV54" s="1165"/>
      <c r="NNW54" s="1165"/>
      <c r="NNX54" s="1165"/>
      <c r="NNY54" s="1165"/>
      <c r="NNZ54" s="1165"/>
      <c r="NOA54" s="1165"/>
      <c r="NOB54" s="1165"/>
      <c r="NOC54" s="1165"/>
      <c r="NOD54" s="1165"/>
      <c r="NOE54" s="1165"/>
      <c r="NOF54" s="1165"/>
      <c r="NOG54" s="1165"/>
      <c r="NOH54" s="1165"/>
      <c r="NOI54" s="1165"/>
      <c r="NOJ54" s="1165"/>
      <c r="NOK54" s="1165"/>
      <c r="NOL54" s="1165"/>
      <c r="NOM54" s="1165"/>
      <c r="NON54" s="1165"/>
      <c r="NOO54" s="1165"/>
      <c r="NOP54" s="1165"/>
      <c r="NOQ54" s="1165"/>
      <c r="NOR54" s="1165"/>
      <c r="NOS54" s="1165"/>
      <c r="NOT54" s="1165"/>
      <c r="NOU54" s="1165"/>
      <c r="NOV54" s="1165"/>
      <c r="NOW54" s="1165"/>
      <c r="NOX54" s="1165"/>
      <c r="NOY54" s="1165"/>
      <c r="NOZ54" s="1165"/>
      <c r="NPA54" s="1165"/>
      <c r="NPB54" s="1165"/>
      <c r="NPC54" s="1165"/>
      <c r="NPD54" s="1165"/>
      <c r="NPE54" s="1165"/>
      <c r="NPF54" s="1165"/>
      <c r="NPG54" s="1165"/>
      <c r="NPH54" s="1165"/>
      <c r="NPI54" s="1165"/>
      <c r="NPJ54" s="1165"/>
      <c r="NPK54" s="1165"/>
      <c r="NPL54" s="1165"/>
      <c r="NPM54" s="1165"/>
      <c r="NPN54" s="1165"/>
      <c r="NPO54" s="1165"/>
      <c r="NPP54" s="1165"/>
      <c r="NPQ54" s="1165"/>
      <c r="NPR54" s="1165"/>
      <c r="NPS54" s="1165"/>
      <c r="NPT54" s="1165"/>
      <c r="NPU54" s="1165"/>
      <c r="NPV54" s="1165"/>
      <c r="NPW54" s="1165"/>
      <c r="NPX54" s="1165"/>
      <c r="NPY54" s="1165"/>
      <c r="NPZ54" s="1165"/>
      <c r="NQA54" s="1165"/>
      <c r="NQB54" s="1165"/>
      <c r="NQC54" s="1165"/>
      <c r="NQD54" s="1165"/>
      <c r="NQE54" s="1165"/>
      <c r="NQF54" s="1165"/>
      <c r="NQG54" s="1165"/>
      <c r="NQH54" s="1165"/>
      <c r="NQI54" s="1165"/>
      <c r="NQJ54" s="1165"/>
      <c r="NQK54" s="1165"/>
      <c r="NQL54" s="1165"/>
      <c r="NQM54" s="1165"/>
      <c r="NQN54" s="1165"/>
      <c r="NQO54" s="1165"/>
      <c r="NQP54" s="1165"/>
      <c r="NQQ54" s="1165"/>
      <c r="NQR54" s="1165"/>
      <c r="NQS54" s="1165"/>
      <c r="NQT54" s="1165"/>
      <c r="NQU54" s="1165"/>
      <c r="NQV54" s="1165"/>
      <c r="NQW54" s="1165"/>
      <c r="NQX54" s="1165"/>
      <c r="NQY54" s="1165"/>
      <c r="NQZ54" s="1165"/>
      <c r="NRA54" s="1165"/>
      <c r="NRB54" s="1165"/>
      <c r="NRC54" s="1165"/>
      <c r="NRD54" s="1165"/>
      <c r="NRE54" s="1165"/>
      <c r="NRF54" s="1165"/>
      <c r="NRG54" s="1165"/>
      <c r="NRH54" s="1165"/>
      <c r="NRI54" s="1165"/>
      <c r="NRJ54" s="1165"/>
      <c r="NRK54" s="1165"/>
      <c r="NRL54" s="1165"/>
      <c r="NRM54" s="1165"/>
      <c r="NRN54" s="1165"/>
      <c r="NRO54" s="1165"/>
      <c r="NRP54" s="1165"/>
      <c r="NRQ54" s="1165"/>
      <c r="NRR54" s="1165"/>
      <c r="NRS54" s="1165"/>
      <c r="NRT54" s="1165"/>
      <c r="NRU54" s="1165"/>
      <c r="NRV54" s="1165"/>
      <c r="NRW54" s="1165"/>
      <c r="NRX54" s="1165"/>
      <c r="NRY54" s="1165"/>
      <c r="NRZ54" s="1165"/>
      <c r="NSA54" s="1165"/>
      <c r="NSB54" s="1165"/>
      <c r="NSC54" s="1165"/>
      <c r="NSD54" s="1165"/>
      <c r="NSE54" s="1165"/>
      <c r="NSF54" s="1165"/>
      <c r="NSG54" s="1165"/>
      <c r="NSH54" s="1165"/>
      <c r="NSI54" s="1165"/>
      <c r="NSJ54" s="1165"/>
      <c r="NSK54" s="1165"/>
      <c r="NSL54" s="1165"/>
      <c r="NSM54" s="1165"/>
      <c r="NSN54" s="1165"/>
      <c r="NSO54" s="1165"/>
      <c r="NSP54" s="1165"/>
      <c r="NSQ54" s="1165"/>
      <c r="NSR54" s="1165"/>
      <c r="NSS54" s="1165"/>
      <c r="NST54" s="1165"/>
      <c r="NSU54" s="1165"/>
      <c r="NSV54" s="1165"/>
      <c r="NSW54" s="1165"/>
      <c r="NSX54" s="1165"/>
      <c r="NSY54" s="1165"/>
      <c r="NSZ54" s="1165"/>
      <c r="NTA54" s="1165"/>
      <c r="NTB54" s="1165"/>
      <c r="NTC54" s="1165"/>
      <c r="NTD54" s="1165"/>
      <c r="NTE54" s="1165"/>
      <c r="NTF54" s="1165"/>
      <c r="NTG54" s="1165"/>
      <c r="NTH54" s="1165"/>
      <c r="NTI54" s="1165"/>
      <c r="NTJ54" s="1165"/>
      <c r="NTK54" s="1165"/>
      <c r="NTL54" s="1165"/>
      <c r="NTM54" s="1165"/>
      <c r="NTN54" s="1165"/>
      <c r="NTO54" s="1165"/>
      <c r="NTP54" s="1165"/>
      <c r="NTQ54" s="1165"/>
      <c r="NTR54" s="1165"/>
      <c r="NTS54" s="1165"/>
      <c r="NTT54" s="1165"/>
      <c r="NTU54" s="1165"/>
      <c r="NTV54" s="1165"/>
      <c r="NTW54" s="1165"/>
      <c r="NTX54" s="1165"/>
      <c r="NTY54" s="1165"/>
      <c r="NTZ54" s="1165"/>
      <c r="NUA54" s="1165"/>
      <c r="NUB54" s="1165"/>
      <c r="NUC54" s="1165"/>
      <c r="NUD54" s="1165"/>
      <c r="NUE54" s="1165"/>
      <c r="NUF54" s="1165"/>
      <c r="NUG54" s="1165"/>
      <c r="NUH54" s="1165"/>
      <c r="NUI54" s="1165"/>
      <c r="NUJ54" s="1165"/>
      <c r="NUK54" s="1165"/>
      <c r="NUL54" s="1165"/>
      <c r="NUM54" s="1165"/>
      <c r="NUN54" s="1165"/>
      <c r="NUO54" s="1165"/>
      <c r="NUP54" s="1165"/>
      <c r="NUQ54" s="1165"/>
      <c r="NUR54" s="1165"/>
      <c r="NUS54" s="1165"/>
      <c r="NUT54" s="1165"/>
      <c r="NUU54" s="1165"/>
      <c r="NUV54" s="1165"/>
      <c r="NUW54" s="1165"/>
      <c r="NUX54" s="1165"/>
      <c r="NUY54" s="1165"/>
      <c r="NUZ54" s="1165"/>
      <c r="NVA54" s="1165"/>
      <c r="NVB54" s="1165"/>
      <c r="NVC54" s="1165"/>
      <c r="NVD54" s="1165"/>
      <c r="NVE54" s="1165"/>
      <c r="NVF54" s="1165"/>
      <c r="NVG54" s="1165"/>
      <c r="NVH54" s="1165"/>
      <c r="NVI54" s="1165"/>
      <c r="NVJ54" s="1165"/>
      <c r="NVK54" s="1165"/>
      <c r="NVL54" s="1165"/>
      <c r="NVM54" s="1165"/>
      <c r="NVN54" s="1165"/>
      <c r="NVO54" s="1165"/>
      <c r="NVP54" s="1165"/>
      <c r="NVQ54" s="1165"/>
      <c r="NVR54" s="1165"/>
      <c r="NVS54" s="1165"/>
      <c r="NVT54" s="1165"/>
      <c r="NVU54" s="1165"/>
      <c r="NVV54" s="1165"/>
      <c r="NVW54" s="1165"/>
      <c r="NVX54" s="1165"/>
      <c r="NVY54" s="1165"/>
      <c r="NVZ54" s="1165"/>
      <c r="NWA54" s="1165"/>
      <c r="NWB54" s="1165"/>
      <c r="NWC54" s="1165"/>
      <c r="NWD54" s="1165"/>
      <c r="NWE54" s="1165"/>
      <c r="NWF54" s="1165"/>
      <c r="NWG54" s="1165"/>
      <c r="NWH54" s="1165"/>
      <c r="NWI54" s="1165"/>
      <c r="NWJ54" s="1165"/>
      <c r="NWK54" s="1165"/>
      <c r="NWL54" s="1165"/>
      <c r="NWM54" s="1165"/>
      <c r="NWN54" s="1165"/>
      <c r="NWO54" s="1165"/>
      <c r="NWP54" s="1165"/>
      <c r="NWQ54" s="1165"/>
      <c r="NWR54" s="1165"/>
      <c r="NWS54" s="1165"/>
      <c r="NWT54" s="1165"/>
      <c r="NWU54" s="1165"/>
      <c r="NWV54" s="1165"/>
      <c r="NWW54" s="1165"/>
      <c r="NWX54" s="1165"/>
      <c r="NWY54" s="1165"/>
      <c r="NWZ54" s="1165"/>
      <c r="NXA54" s="1165"/>
      <c r="NXB54" s="1165"/>
      <c r="NXC54" s="1165"/>
      <c r="NXD54" s="1165"/>
      <c r="NXE54" s="1165"/>
      <c r="NXF54" s="1165"/>
      <c r="NXG54" s="1165"/>
      <c r="NXH54" s="1165"/>
      <c r="NXI54" s="1165"/>
      <c r="NXJ54" s="1165"/>
      <c r="NXK54" s="1165"/>
      <c r="NXL54" s="1165"/>
      <c r="NXM54" s="1165"/>
      <c r="NXN54" s="1165"/>
      <c r="NXO54" s="1165"/>
      <c r="NXP54" s="1165"/>
      <c r="NXQ54" s="1165"/>
      <c r="NXR54" s="1165"/>
      <c r="NXS54" s="1165"/>
      <c r="NXT54" s="1165"/>
      <c r="NXU54" s="1165"/>
      <c r="NXV54" s="1165"/>
      <c r="NXW54" s="1165"/>
      <c r="NXX54" s="1165"/>
      <c r="NXY54" s="1165"/>
      <c r="NXZ54" s="1165"/>
      <c r="NYA54" s="1165"/>
      <c r="NYB54" s="1165"/>
      <c r="NYC54" s="1165"/>
      <c r="NYD54" s="1165"/>
      <c r="NYE54" s="1165"/>
      <c r="NYF54" s="1165"/>
      <c r="NYG54" s="1165"/>
      <c r="NYH54" s="1165"/>
      <c r="NYI54" s="1165"/>
      <c r="NYJ54" s="1165"/>
      <c r="NYK54" s="1165"/>
      <c r="NYL54" s="1165"/>
      <c r="NYM54" s="1165"/>
      <c r="NYN54" s="1165"/>
      <c r="NYO54" s="1165"/>
      <c r="NYP54" s="1165"/>
      <c r="NYQ54" s="1165"/>
      <c r="NYR54" s="1165"/>
      <c r="NYS54" s="1165"/>
      <c r="NYT54" s="1165"/>
      <c r="NYU54" s="1165"/>
      <c r="NYV54" s="1165"/>
      <c r="NYW54" s="1165"/>
      <c r="NYX54" s="1165"/>
      <c r="NYY54" s="1165"/>
      <c r="NYZ54" s="1165"/>
      <c r="NZA54" s="1165"/>
      <c r="NZB54" s="1165"/>
      <c r="NZC54" s="1165"/>
      <c r="NZD54" s="1165"/>
      <c r="NZE54" s="1165"/>
      <c r="NZF54" s="1165"/>
      <c r="NZG54" s="1165"/>
      <c r="NZH54" s="1165"/>
      <c r="NZI54" s="1165"/>
      <c r="NZJ54" s="1165"/>
      <c r="NZK54" s="1165"/>
      <c r="NZL54" s="1165"/>
      <c r="NZM54" s="1165"/>
      <c r="NZN54" s="1165"/>
      <c r="NZO54" s="1165"/>
      <c r="NZP54" s="1165"/>
      <c r="NZQ54" s="1165"/>
      <c r="NZR54" s="1165"/>
      <c r="NZS54" s="1165"/>
      <c r="NZT54" s="1165"/>
      <c r="NZU54" s="1165"/>
      <c r="NZV54" s="1165"/>
      <c r="NZW54" s="1165"/>
      <c r="NZX54" s="1165"/>
      <c r="NZY54" s="1165"/>
      <c r="NZZ54" s="1165"/>
      <c r="OAA54" s="1165"/>
      <c r="OAB54" s="1165"/>
      <c r="OAC54" s="1165"/>
      <c r="OAD54" s="1165"/>
      <c r="OAE54" s="1165"/>
      <c r="OAF54" s="1165"/>
      <c r="OAG54" s="1165"/>
      <c r="OAH54" s="1165"/>
      <c r="OAI54" s="1165"/>
      <c r="OAJ54" s="1165"/>
      <c r="OAK54" s="1165"/>
      <c r="OAL54" s="1165"/>
      <c r="OAM54" s="1165"/>
      <c r="OAN54" s="1165"/>
      <c r="OAO54" s="1165"/>
      <c r="OAP54" s="1165"/>
      <c r="OAQ54" s="1165"/>
      <c r="OAR54" s="1165"/>
      <c r="OAS54" s="1165"/>
      <c r="OAT54" s="1165"/>
      <c r="OAU54" s="1165"/>
      <c r="OAV54" s="1165"/>
      <c r="OAW54" s="1165"/>
      <c r="OAX54" s="1165"/>
      <c r="OAY54" s="1165"/>
      <c r="OAZ54" s="1165"/>
      <c r="OBA54" s="1165"/>
      <c r="OBB54" s="1165"/>
      <c r="OBC54" s="1165"/>
      <c r="OBD54" s="1165"/>
      <c r="OBE54" s="1165"/>
      <c r="OBF54" s="1165"/>
      <c r="OBG54" s="1165"/>
      <c r="OBH54" s="1165"/>
      <c r="OBI54" s="1165"/>
      <c r="OBJ54" s="1165"/>
      <c r="OBK54" s="1165"/>
      <c r="OBL54" s="1165"/>
      <c r="OBM54" s="1165"/>
      <c r="OBN54" s="1165"/>
      <c r="OBO54" s="1165"/>
      <c r="OBP54" s="1165"/>
      <c r="OBQ54" s="1165"/>
      <c r="OBR54" s="1165"/>
      <c r="OBS54" s="1165"/>
      <c r="OBT54" s="1165"/>
      <c r="OBU54" s="1165"/>
      <c r="OBV54" s="1165"/>
      <c r="OBW54" s="1165"/>
      <c r="OBX54" s="1165"/>
      <c r="OBY54" s="1165"/>
      <c r="OBZ54" s="1165"/>
      <c r="OCA54" s="1165"/>
      <c r="OCB54" s="1165"/>
      <c r="OCC54" s="1165"/>
      <c r="OCD54" s="1165"/>
      <c r="OCE54" s="1165"/>
      <c r="OCF54" s="1165"/>
      <c r="OCG54" s="1165"/>
      <c r="OCH54" s="1165"/>
      <c r="OCI54" s="1165"/>
      <c r="OCJ54" s="1165"/>
      <c r="OCK54" s="1165"/>
      <c r="OCL54" s="1165"/>
      <c r="OCM54" s="1165"/>
      <c r="OCN54" s="1165"/>
      <c r="OCO54" s="1165"/>
      <c r="OCP54" s="1165"/>
      <c r="OCQ54" s="1165"/>
      <c r="OCR54" s="1165"/>
      <c r="OCS54" s="1165"/>
      <c r="OCT54" s="1165"/>
      <c r="OCU54" s="1165"/>
      <c r="OCV54" s="1165"/>
      <c r="OCW54" s="1165"/>
      <c r="OCX54" s="1165"/>
      <c r="OCY54" s="1165"/>
      <c r="OCZ54" s="1165"/>
      <c r="ODA54" s="1165"/>
      <c r="ODB54" s="1165"/>
      <c r="ODC54" s="1165"/>
      <c r="ODD54" s="1165"/>
      <c r="ODE54" s="1165"/>
      <c r="ODF54" s="1165"/>
      <c r="ODG54" s="1165"/>
      <c r="ODH54" s="1165"/>
      <c r="ODI54" s="1165"/>
      <c r="ODJ54" s="1165"/>
      <c r="ODK54" s="1165"/>
      <c r="ODL54" s="1165"/>
      <c r="ODM54" s="1165"/>
      <c r="ODN54" s="1165"/>
      <c r="ODO54" s="1165"/>
      <c r="ODP54" s="1165"/>
      <c r="ODQ54" s="1165"/>
      <c r="ODR54" s="1165"/>
      <c r="ODS54" s="1165"/>
      <c r="ODT54" s="1165"/>
      <c r="ODU54" s="1165"/>
      <c r="ODV54" s="1165"/>
      <c r="ODW54" s="1165"/>
      <c r="ODX54" s="1165"/>
      <c r="ODY54" s="1165"/>
      <c r="ODZ54" s="1165"/>
      <c r="OEA54" s="1165"/>
      <c r="OEB54" s="1165"/>
      <c r="OEC54" s="1165"/>
      <c r="OED54" s="1165"/>
      <c r="OEE54" s="1165"/>
      <c r="OEF54" s="1165"/>
      <c r="OEG54" s="1165"/>
      <c r="OEH54" s="1165"/>
      <c r="OEI54" s="1165"/>
      <c r="OEJ54" s="1165"/>
      <c r="OEK54" s="1165"/>
      <c r="OEL54" s="1165"/>
      <c r="OEM54" s="1165"/>
      <c r="OEN54" s="1165"/>
      <c r="OEO54" s="1165"/>
      <c r="OEP54" s="1165"/>
      <c r="OEQ54" s="1165"/>
      <c r="OER54" s="1165"/>
      <c r="OES54" s="1165"/>
      <c r="OET54" s="1165"/>
      <c r="OEU54" s="1165"/>
      <c r="OEV54" s="1165"/>
      <c r="OEW54" s="1165"/>
      <c r="OEX54" s="1165"/>
      <c r="OEY54" s="1165"/>
      <c r="OEZ54" s="1165"/>
      <c r="OFA54" s="1165"/>
      <c r="OFB54" s="1165"/>
      <c r="OFC54" s="1165"/>
      <c r="OFD54" s="1165"/>
      <c r="OFE54" s="1165"/>
      <c r="OFF54" s="1165"/>
      <c r="OFG54" s="1165"/>
      <c r="OFH54" s="1165"/>
      <c r="OFI54" s="1165"/>
      <c r="OFJ54" s="1165"/>
      <c r="OFK54" s="1165"/>
      <c r="OFL54" s="1165"/>
      <c r="OFM54" s="1165"/>
      <c r="OFN54" s="1165"/>
      <c r="OFO54" s="1165"/>
      <c r="OFP54" s="1165"/>
      <c r="OFQ54" s="1165"/>
      <c r="OFR54" s="1165"/>
      <c r="OFS54" s="1165"/>
      <c r="OFT54" s="1165"/>
      <c r="OFU54" s="1165"/>
      <c r="OFV54" s="1165"/>
      <c r="OFW54" s="1165"/>
      <c r="OFX54" s="1165"/>
      <c r="OFY54" s="1165"/>
      <c r="OFZ54" s="1165"/>
      <c r="OGA54" s="1165"/>
      <c r="OGB54" s="1165"/>
      <c r="OGC54" s="1165"/>
      <c r="OGD54" s="1165"/>
      <c r="OGE54" s="1165"/>
      <c r="OGF54" s="1165"/>
      <c r="OGG54" s="1165"/>
      <c r="OGH54" s="1165"/>
      <c r="OGI54" s="1165"/>
      <c r="OGJ54" s="1165"/>
      <c r="OGK54" s="1165"/>
      <c r="OGL54" s="1165"/>
      <c r="OGM54" s="1165"/>
      <c r="OGN54" s="1165"/>
      <c r="OGO54" s="1165"/>
      <c r="OGP54" s="1165"/>
      <c r="OGQ54" s="1165"/>
      <c r="OGR54" s="1165"/>
      <c r="OGS54" s="1165"/>
      <c r="OGT54" s="1165"/>
      <c r="OGU54" s="1165"/>
      <c r="OGV54" s="1165"/>
      <c r="OGW54" s="1165"/>
      <c r="OGX54" s="1165"/>
      <c r="OGY54" s="1165"/>
      <c r="OGZ54" s="1165"/>
      <c r="OHA54" s="1165"/>
      <c r="OHB54" s="1165"/>
      <c r="OHC54" s="1165"/>
      <c r="OHD54" s="1165"/>
      <c r="OHE54" s="1165"/>
      <c r="OHF54" s="1165"/>
      <c r="OHG54" s="1165"/>
      <c r="OHH54" s="1165"/>
      <c r="OHI54" s="1165"/>
      <c r="OHJ54" s="1165"/>
      <c r="OHK54" s="1165"/>
      <c r="OHL54" s="1165"/>
      <c r="OHM54" s="1165"/>
      <c r="OHN54" s="1165"/>
      <c r="OHO54" s="1165"/>
      <c r="OHP54" s="1165"/>
      <c r="OHQ54" s="1165"/>
      <c r="OHR54" s="1165"/>
      <c r="OHS54" s="1165"/>
      <c r="OHT54" s="1165"/>
      <c r="OHU54" s="1165"/>
      <c r="OHV54" s="1165"/>
      <c r="OHW54" s="1165"/>
      <c r="OHX54" s="1165"/>
      <c r="OHY54" s="1165"/>
      <c r="OHZ54" s="1165"/>
      <c r="OIA54" s="1165"/>
      <c r="OIB54" s="1165"/>
      <c r="OIC54" s="1165"/>
      <c r="OID54" s="1165"/>
      <c r="OIE54" s="1165"/>
      <c r="OIF54" s="1165"/>
      <c r="OIG54" s="1165"/>
      <c r="OIH54" s="1165"/>
      <c r="OII54" s="1165"/>
      <c r="OIJ54" s="1165"/>
      <c r="OIK54" s="1165"/>
      <c r="OIL54" s="1165"/>
      <c r="OIM54" s="1165"/>
      <c r="OIN54" s="1165"/>
      <c r="OIO54" s="1165"/>
      <c r="OIP54" s="1165"/>
      <c r="OIQ54" s="1165"/>
      <c r="OIR54" s="1165"/>
      <c r="OIS54" s="1165"/>
      <c r="OIT54" s="1165"/>
      <c r="OIU54" s="1165"/>
      <c r="OIV54" s="1165"/>
      <c r="OIW54" s="1165"/>
      <c r="OIX54" s="1165"/>
      <c r="OIY54" s="1165"/>
      <c r="OIZ54" s="1165"/>
      <c r="OJA54" s="1165"/>
      <c r="OJB54" s="1165"/>
      <c r="OJC54" s="1165"/>
      <c r="OJD54" s="1165"/>
      <c r="OJE54" s="1165"/>
      <c r="OJF54" s="1165"/>
      <c r="OJG54" s="1165"/>
      <c r="OJH54" s="1165"/>
      <c r="OJI54" s="1165"/>
      <c r="OJJ54" s="1165"/>
      <c r="OJK54" s="1165"/>
      <c r="OJL54" s="1165"/>
      <c r="OJM54" s="1165"/>
      <c r="OJN54" s="1165"/>
      <c r="OJO54" s="1165"/>
      <c r="OJP54" s="1165"/>
      <c r="OJQ54" s="1165"/>
      <c r="OJR54" s="1165"/>
      <c r="OJS54" s="1165"/>
      <c r="OJT54" s="1165"/>
      <c r="OJU54" s="1165"/>
      <c r="OJV54" s="1165"/>
      <c r="OJW54" s="1165"/>
      <c r="OJX54" s="1165"/>
      <c r="OJY54" s="1165"/>
      <c r="OJZ54" s="1165"/>
      <c r="OKA54" s="1165"/>
      <c r="OKB54" s="1165"/>
      <c r="OKC54" s="1165"/>
      <c r="OKD54" s="1165"/>
      <c r="OKE54" s="1165"/>
      <c r="OKF54" s="1165"/>
      <c r="OKG54" s="1165"/>
      <c r="OKH54" s="1165"/>
      <c r="OKI54" s="1165"/>
      <c r="OKJ54" s="1165"/>
      <c r="OKK54" s="1165"/>
      <c r="OKL54" s="1165"/>
      <c r="OKM54" s="1165"/>
      <c r="OKN54" s="1165"/>
      <c r="OKO54" s="1165"/>
      <c r="OKP54" s="1165"/>
      <c r="OKQ54" s="1165"/>
      <c r="OKR54" s="1165"/>
      <c r="OKS54" s="1165"/>
      <c r="OKT54" s="1165"/>
      <c r="OKU54" s="1165"/>
      <c r="OKV54" s="1165"/>
      <c r="OKW54" s="1165"/>
      <c r="OKX54" s="1165"/>
      <c r="OKY54" s="1165"/>
      <c r="OKZ54" s="1165"/>
      <c r="OLA54" s="1165"/>
      <c r="OLB54" s="1165"/>
      <c r="OLC54" s="1165"/>
      <c r="OLD54" s="1165"/>
      <c r="OLE54" s="1165"/>
      <c r="OLF54" s="1165"/>
      <c r="OLG54" s="1165"/>
      <c r="OLH54" s="1165"/>
      <c r="OLI54" s="1165"/>
      <c r="OLJ54" s="1165"/>
      <c r="OLK54" s="1165"/>
      <c r="OLL54" s="1165"/>
      <c r="OLM54" s="1165"/>
      <c r="OLN54" s="1165"/>
      <c r="OLO54" s="1165"/>
      <c r="OLP54" s="1165"/>
      <c r="OLQ54" s="1165"/>
      <c r="OLR54" s="1165"/>
      <c r="OLS54" s="1165"/>
      <c r="OLT54" s="1165"/>
      <c r="OLU54" s="1165"/>
      <c r="OLV54" s="1165"/>
      <c r="OLW54" s="1165"/>
      <c r="OLX54" s="1165"/>
      <c r="OLY54" s="1165"/>
      <c r="OLZ54" s="1165"/>
      <c r="OMA54" s="1165"/>
      <c r="OMB54" s="1165"/>
      <c r="OMC54" s="1165"/>
      <c r="OMD54" s="1165"/>
      <c r="OME54" s="1165"/>
      <c r="OMF54" s="1165"/>
      <c r="OMG54" s="1165"/>
      <c r="OMH54" s="1165"/>
      <c r="OMI54" s="1165"/>
      <c r="OMJ54" s="1165"/>
      <c r="OMK54" s="1165"/>
      <c r="OML54" s="1165"/>
      <c r="OMM54" s="1165"/>
      <c r="OMN54" s="1165"/>
      <c r="OMO54" s="1165"/>
      <c r="OMP54" s="1165"/>
      <c r="OMQ54" s="1165"/>
      <c r="OMR54" s="1165"/>
      <c r="OMS54" s="1165"/>
      <c r="OMT54" s="1165"/>
      <c r="OMU54" s="1165"/>
      <c r="OMV54" s="1165"/>
      <c r="OMW54" s="1165"/>
      <c r="OMX54" s="1165"/>
      <c r="OMY54" s="1165"/>
      <c r="OMZ54" s="1165"/>
      <c r="ONA54" s="1165"/>
      <c r="ONB54" s="1165"/>
      <c r="ONC54" s="1165"/>
      <c r="OND54" s="1165"/>
      <c r="ONE54" s="1165"/>
      <c r="ONF54" s="1165"/>
      <c r="ONG54" s="1165"/>
      <c r="ONH54" s="1165"/>
      <c r="ONI54" s="1165"/>
      <c r="ONJ54" s="1165"/>
      <c r="ONK54" s="1165"/>
      <c r="ONL54" s="1165"/>
      <c r="ONM54" s="1165"/>
      <c r="ONN54" s="1165"/>
      <c r="ONO54" s="1165"/>
      <c r="ONP54" s="1165"/>
      <c r="ONQ54" s="1165"/>
      <c r="ONR54" s="1165"/>
      <c r="ONS54" s="1165"/>
      <c r="ONT54" s="1165"/>
      <c r="ONU54" s="1165"/>
      <c r="ONV54" s="1165"/>
      <c r="ONW54" s="1165"/>
      <c r="ONX54" s="1165"/>
      <c r="ONY54" s="1165"/>
      <c r="ONZ54" s="1165"/>
      <c r="OOA54" s="1165"/>
      <c r="OOB54" s="1165"/>
      <c r="OOC54" s="1165"/>
      <c r="OOD54" s="1165"/>
      <c r="OOE54" s="1165"/>
      <c r="OOF54" s="1165"/>
      <c r="OOG54" s="1165"/>
      <c r="OOH54" s="1165"/>
      <c r="OOI54" s="1165"/>
      <c r="OOJ54" s="1165"/>
      <c r="OOK54" s="1165"/>
      <c r="OOL54" s="1165"/>
      <c r="OOM54" s="1165"/>
      <c r="OON54" s="1165"/>
      <c r="OOO54" s="1165"/>
      <c r="OOP54" s="1165"/>
      <c r="OOQ54" s="1165"/>
      <c r="OOR54" s="1165"/>
      <c r="OOS54" s="1165"/>
      <c r="OOT54" s="1165"/>
      <c r="OOU54" s="1165"/>
      <c r="OOV54" s="1165"/>
      <c r="OOW54" s="1165"/>
      <c r="OOX54" s="1165"/>
      <c r="OOY54" s="1165"/>
      <c r="OOZ54" s="1165"/>
      <c r="OPA54" s="1165"/>
      <c r="OPB54" s="1165"/>
      <c r="OPC54" s="1165"/>
      <c r="OPD54" s="1165"/>
      <c r="OPE54" s="1165"/>
      <c r="OPF54" s="1165"/>
      <c r="OPG54" s="1165"/>
      <c r="OPH54" s="1165"/>
      <c r="OPI54" s="1165"/>
      <c r="OPJ54" s="1165"/>
      <c r="OPK54" s="1165"/>
      <c r="OPL54" s="1165"/>
      <c r="OPM54" s="1165"/>
      <c r="OPN54" s="1165"/>
      <c r="OPO54" s="1165"/>
      <c r="OPP54" s="1165"/>
      <c r="OPQ54" s="1165"/>
      <c r="OPR54" s="1165"/>
      <c r="OPS54" s="1165"/>
      <c r="OPT54" s="1165"/>
      <c r="OPU54" s="1165"/>
      <c r="OPV54" s="1165"/>
      <c r="OPW54" s="1165"/>
      <c r="OPX54" s="1165"/>
      <c r="OPY54" s="1165"/>
      <c r="OPZ54" s="1165"/>
      <c r="OQA54" s="1165"/>
      <c r="OQB54" s="1165"/>
      <c r="OQC54" s="1165"/>
      <c r="OQD54" s="1165"/>
      <c r="OQE54" s="1165"/>
      <c r="OQF54" s="1165"/>
      <c r="OQG54" s="1165"/>
      <c r="OQH54" s="1165"/>
      <c r="OQI54" s="1165"/>
      <c r="OQJ54" s="1165"/>
      <c r="OQK54" s="1165"/>
      <c r="OQL54" s="1165"/>
      <c r="OQM54" s="1165"/>
      <c r="OQN54" s="1165"/>
      <c r="OQO54" s="1165"/>
      <c r="OQP54" s="1165"/>
      <c r="OQQ54" s="1165"/>
      <c r="OQR54" s="1165"/>
      <c r="OQS54" s="1165"/>
      <c r="OQT54" s="1165"/>
      <c r="OQU54" s="1165"/>
      <c r="OQV54" s="1165"/>
      <c r="OQW54" s="1165"/>
      <c r="OQX54" s="1165"/>
      <c r="OQY54" s="1165"/>
      <c r="OQZ54" s="1165"/>
      <c r="ORA54" s="1165"/>
      <c r="ORB54" s="1165"/>
      <c r="ORC54" s="1165"/>
      <c r="ORD54" s="1165"/>
      <c r="ORE54" s="1165"/>
      <c r="ORF54" s="1165"/>
      <c r="ORG54" s="1165"/>
      <c r="ORH54" s="1165"/>
      <c r="ORI54" s="1165"/>
      <c r="ORJ54" s="1165"/>
      <c r="ORK54" s="1165"/>
      <c r="ORL54" s="1165"/>
      <c r="ORM54" s="1165"/>
      <c r="ORN54" s="1165"/>
      <c r="ORO54" s="1165"/>
      <c r="ORP54" s="1165"/>
      <c r="ORQ54" s="1165"/>
      <c r="ORR54" s="1165"/>
      <c r="ORS54" s="1165"/>
      <c r="ORT54" s="1165"/>
      <c r="ORU54" s="1165"/>
      <c r="ORV54" s="1165"/>
      <c r="ORW54" s="1165"/>
      <c r="ORX54" s="1165"/>
      <c r="ORY54" s="1165"/>
      <c r="ORZ54" s="1165"/>
      <c r="OSA54" s="1165"/>
      <c r="OSB54" s="1165"/>
      <c r="OSC54" s="1165"/>
      <c r="OSD54" s="1165"/>
      <c r="OSE54" s="1165"/>
      <c r="OSF54" s="1165"/>
      <c r="OSG54" s="1165"/>
      <c r="OSH54" s="1165"/>
      <c r="OSI54" s="1165"/>
      <c r="OSJ54" s="1165"/>
      <c r="OSK54" s="1165"/>
      <c r="OSL54" s="1165"/>
      <c r="OSM54" s="1165"/>
      <c r="OSN54" s="1165"/>
      <c r="OSO54" s="1165"/>
      <c r="OSP54" s="1165"/>
      <c r="OSQ54" s="1165"/>
      <c r="OSR54" s="1165"/>
      <c r="OSS54" s="1165"/>
      <c r="OST54" s="1165"/>
      <c r="OSU54" s="1165"/>
      <c r="OSV54" s="1165"/>
      <c r="OSW54" s="1165"/>
      <c r="OSX54" s="1165"/>
      <c r="OSY54" s="1165"/>
      <c r="OSZ54" s="1165"/>
      <c r="OTA54" s="1165"/>
      <c r="OTB54" s="1165"/>
      <c r="OTC54" s="1165"/>
      <c r="OTD54" s="1165"/>
      <c r="OTE54" s="1165"/>
      <c r="OTF54" s="1165"/>
      <c r="OTG54" s="1165"/>
      <c r="OTH54" s="1165"/>
      <c r="OTI54" s="1165"/>
      <c r="OTJ54" s="1165"/>
      <c r="OTK54" s="1165"/>
      <c r="OTL54" s="1165"/>
      <c r="OTM54" s="1165"/>
      <c r="OTN54" s="1165"/>
      <c r="OTO54" s="1165"/>
      <c r="OTP54" s="1165"/>
      <c r="OTQ54" s="1165"/>
      <c r="OTR54" s="1165"/>
      <c r="OTS54" s="1165"/>
      <c r="OTT54" s="1165"/>
      <c r="OTU54" s="1165"/>
      <c r="OTV54" s="1165"/>
      <c r="OTW54" s="1165"/>
      <c r="OTX54" s="1165"/>
      <c r="OTY54" s="1165"/>
      <c r="OTZ54" s="1165"/>
      <c r="OUA54" s="1165"/>
      <c r="OUB54" s="1165"/>
      <c r="OUC54" s="1165"/>
      <c r="OUD54" s="1165"/>
      <c r="OUE54" s="1165"/>
      <c r="OUF54" s="1165"/>
      <c r="OUG54" s="1165"/>
      <c r="OUH54" s="1165"/>
      <c r="OUI54" s="1165"/>
      <c r="OUJ54" s="1165"/>
      <c r="OUK54" s="1165"/>
      <c r="OUL54" s="1165"/>
      <c r="OUM54" s="1165"/>
      <c r="OUN54" s="1165"/>
      <c r="OUO54" s="1165"/>
      <c r="OUP54" s="1165"/>
      <c r="OUQ54" s="1165"/>
      <c r="OUR54" s="1165"/>
      <c r="OUS54" s="1165"/>
      <c r="OUT54" s="1165"/>
      <c r="OUU54" s="1165"/>
      <c r="OUV54" s="1165"/>
      <c r="OUW54" s="1165"/>
      <c r="OUX54" s="1165"/>
      <c r="OUY54" s="1165"/>
      <c r="OUZ54" s="1165"/>
      <c r="OVA54" s="1165"/>
      <c r="OVB54" s="1165"/>
      <c r="OVC54" s="1165"/>
      <c r="OVD54" s="1165"/>
      <c r="OVE54" s="1165"/>
      <c r="OVF54" s="1165"/>
      <c r="OVG54" s="1165"/>
      <c r="OVH54" s="1165"/>
      <c r="OVI54" s="1165"/>
      <c r="OVJ54" s="1165"/>
      <c r="OVK54" s="1165"/>
      <c r="OVL54" s="1165"/>
      <c r="OVM54" s="1165"/>
      <c r="OVN54" s="1165"/>
      <c r="OVO54" s="1165"/>
      <c r="OVP54" s="1165"/>
      <c r="OVQ54" s="1165"/>
      <c r="OVR54" s="1165"/>
      <c r="OVS54" s="1165"/>
      <c r="OVT54" s="1165"/>
      <c r="OVU54" s="1165"/>
      <c r="OVV54" s="1165"/>
      <c r="OVW54" s="1165"/>
      <c r="OVX54" s="1165"/>
      <c r="OVY54" s="1165"/>
      <c r="OVZ54" s="1165"/>
      <c r="OWA54" s="1165"/>
      <c r="OWB54" s="1165"/>
      <c r="OWC54" s="1165"/>
      <c r="OWD54" s="1165"/>
      <c r="OWE54" s="1165"/>
      <c r="OWF54" s="1165"/>
      <c r="OWG54" s="1165"/>
      <c r="OWH54" s="1165"/>
      <c r="OWI54" s="1165"/>
      <c r="OWJ54" s="1165"/>
      <c r="OWK54" s="1165"/>
      <c r="OWL54" s="1165"/>
      <c r="OWM54" s="1165"/>
      <c r="OWN54" s="1165"/>
      <c r="OWO54" s="1165"/>
      <c r="OWP54" s="1165"/>
      <c r="OWQ54" s="1165"/>
      <c r="OWR54" s="1165"/>
      <c r="OWS54" s="1165"/>
      <c r="OWT54" s="1165"/>
      <c r="OWU54" s="1165"/>
      <c r="OWV54" s="1165"/>
      <c r="OWW54" s="1165"/>
      <c r="OWX54" s="1165"/>
      <c r="OWY54" s="1165"/>
      <c r="OWZ54" s="1165"/>
      <c r="OXA54" s="1165"/>
      <c r="OXB54" s="1165"/>
      <c r="OXC54" s="1165"/>
      <c r="OXD54" s="1165"/>
      <c r="OXE54" s="1165"/>
      <c r="OXF54" s="1165"/>
      <c r="OXG54" s="1165"/>
      <c r="OXH54" s="1165"/>
      <c r="OXI54" s="1165"/>
      <c r="OXJ54" s="1165"/>
      <c r="OXK54" s="1165"/>
      <c r="OXL54" s="1165"/>
      <c r="OXM54" s="1165"/>
      <c r="OXN54" s="1165"/>
      <c r="OXO54" s="1165"/>
      <c r="OXP54" s="1165"/>
      <c r="OXQ54" s="1165"/>
      <c r="OXR54" s="1165"/>
      <c r="OXS54" s="1165"/>
      <c r="OXT54" s="1165"/>
      <c r="OXU54" s="1165"/>
      <c r="OXV54" s="1165"/>
      <c r="OXW54" s="1165"/>
      <c r="OXX54" s="1165"/>
      <c r="OXY54" s="1165"/>
      <c r="OXZ54" s="1165"/>
      <c r="OYA54" s="1165"/>
      <c r="OYB54" s="1165"/>
      <c r="OYC54" s="1165"/>
      <c r="OYD54" s="1165"/>
      <c r="OYE54" s="1165"/>
      <c r="OYF54" s="1165"/>
      <c r="OYG54" s="1165"/>
      <c r="OYH54" s="1165"/>
      <c r="OYI54" s="1165"/>
      <c r="OYJ54" s="1165"/>
      <c r="OYK54" s="1165"/>
      <c r="OYL54" s="1165"/>
      <c r="OYM54" s="1165"/>
      <c r="OYN54" s="1165"/>
      <c r="OYO54" s="1165"/>
      <c r="OYP54" s="1165"/>
      <c r="OYQ54" s="1165"/>
      <c r="OYR54" s="1165"/>
      <c r="OYS54" s="1165"/>
      <c r="OYT54" s="1165"/>
      <c r="OYU54" s="1165"/>
      <c r="OYV54" s="1165"/>
      <c r="OYW54" s="1165"/>
      <c r="OYX54" s="1165"/>
      <c r="OYY54" s="1165"/>
      <c r="OYZ54" s="1165"/>
      <c r="OZA54" s="1165"/>
      <c r="OZB54" s="1165"/>
      <c r="OZC54" s="1165"/>
      <c r="OZD54" s="1165"/>
      <c r="OZE54" s="1165"/>
      <c r="OZF54" s="1165"/>
      <c r="OZG54" s="1165"/>
      <c r="OZH54" s="1165"/>
      <c r="OZI54" s="1165"/>
      <c r="OZJ54" s="1165"/>
      <c r="OZK54" s="1165"/>
      <c r="OZL54" s="1165"/>
      <c r="OZM54" s="1165"/>
      <c r="OZN54" s="1165"/>
      <c r="OZO54" s="1165"/>
      <c r="OZP54" s="1165"/>
      <c r="OZQ54" s="1165"/>
      <c r="OZR54" s="1165"/>
      <c r="OZS54" s="1165"/>
      <c r="OZT54" s="1165"/>
      <c r="OZU54" s="1165"/>
      <c r="OZV54" s="1165"/>
      <c r="OZW54" s="1165"/>
      <c r="OZX54" s="1165"/>
      <c r="OZY54" s="1165"/>
      <c r="OZZ54" s="1165"/>
      <c r="PAA54" s="1165"/>
      <c r="PAB54" s="1165"/>
      <c r="PAC54" s="1165"/>
      <c r="PAD54" s="1165"/>
      <c r="PAE54" s="1165"/>
      <c r="PAF54" s="1165"/>
      <c r="PAG54" s="1165"/>
      <c r="PAH54" s="1165"/>
      <c r="PAI54" s="1165"/>
      <c r="PAJ54" s="1165"/>
      <c r="PAK54" s="1165"/>
      <c r="PAL54" s="1165"/>
      <c r="PAM54" s="1165"/>
      <c r="PAN54" s="1165"/>
      <c r="PAO54" s="1165"/>
      <c r="PAP54" s="1165"/>
      <c r="PAQ54" s="1165"/>
      <c r="PAR54" s="1165"/>
      <c r="PAS54" s="1165"/>
      <c r="PAT54" s="1165"/>
      <c r="PAU54" s="1165"/>
      <c r="PAV54" s="1165"/>
      <c r="PAW54" s="1165"/>
      <c r="PAX54" s="1165"/>
      <c r="PAY54" s="1165"/>
      <c r="PAZ54" s="1165"/>
      <c r="PBA54" s="1165"/>
      <c r="PBB54" s="1165"/>
      <c r="PBC54" s="1165"/>
      <c r="PBD54" s="1165"/>
      <c r="PBE54" s="1165"/>
      <c r="PBF54" s="1165"/>
      <c r="PBG54" s="1165"/>
      <c r="PBH54" s="1165"/>
      <c r="PBI54" s="1165"/>
      <c r="PBJ54" s="1165"/>
      <c r="PBK54" s="1165"/>
      <c r="PBL54" s="1165"/>
      <c r="PBM54" s="1165"/>
      <c r="PBN54" s="1165"/>
      <c r="PBO54" s="1165"/>
      <c r="PBP54" s="1165"/>
      <c r="PBQ54" s="1165"/>
      <c r="PBR54" s="1165"/>
      <c r="PBS54" s="1165"/>
      <c r="PBT54" s="1165"/>
      <c r="PBU54" s="1165"/>
      <c r="PBV54" s="1165"/>
      <c r="PBW54" s="1165"/>
      <c r="PBX54" s="1165"/>
      <c r="PBY54" s="1165"/>
      <c r="PBZ54" s="1165"/>
      <c r="PCA54" s="1165"/>
      <c r="PCB54" s="1165"/>
      <c r="PCC54" s="1165"/>
      <c r="PCD54" s="1165"/>
      <c r="PCE54" s="1165"/>
      <c r="PCF54" s="1165"/>
      <c r="PCG54" s="1165"/>
      <c r="PCH54" s="1165"/>
      <c r="PCI54" s="1165"/>
      <c r="PCJ54" s="1165"/>
      <c r="PCK54" s="1165"/>
      <c r="PCL54" s="1165"/>
      <c r="PCM54" s="1165"/>
      <c r="PCN54" s="1165"/>
      <c r="PCO54" s="1165"/>
      <c r="PCP54" s="1165"/>
      <c r="PCQ54" s="1165"/>
      <c r="PCR54" s="1165"/>
      <c r="PCS54" s="1165"/>
      <c r="PCT54" s="1165"/>
      <c r="PCU54" s="1165"/>
      <c r="PCV54" s="1165"/>
      <c r="PCW54" s="1165"/>
      <c r="PCX54" s="1165"/>
      <c r="PCY54" s="1165"/>
      <c r="PCZ54" s="1165"/>
      <c r="PDA54" s="1165"/>
      <c r="PDB54" s="1165"/>
      <c r="PDC54" s="1165"/>
      <c r="PDD54" s="1165"/>
      <c r="PDE54" s="1165"/>
      <c r="PDF54" s="1165"/>
      <c r="PDG54" s="1165"/>
      <c r="PDH54" s="1165"/>
      <c r="PDI54" s="1165"/>
      <c r="PDJ54" s="1165"/>
      <c r="PDK54" s="1165"/>
      <c r="PDL54" s="1165"/>
      <c r="PDM54" s="1165"/>
      <c r="PDN54" s="1165"/>
      <c r="PDO54" s="1165"/>
      <c r="PDP54" s="1165"/>
      <c r="PDQ54" s="1165"/>
      <c r="PDR54" s="1165"/>
      <c r="PDS54" s="1165"/>
      <c r="PDT54" s="1165"/>
      <c r="PDU54" s="1165"/>
      <c r="PDV54" s="1165"/>
      <c r="PDW54" s="1165"/>
      <c r="PDX54" s="1165"/>
      <c r="PDY54" s="1165"/>
      <c r="PDZ54" s="1165"/>
      <c r="PEA54" s="1165"/>
      <c r="PEB54" s="1165"/>
      <c r="PEC54" s="1165"/>
      <c r="PED54" s="1165"/>
      <c r="PEE54" s="1165"/>
      <c r="PEF54" s="1165"/>
      <c r="PEG54" s="1165"/>
      <c r="PEH54" s="1165"/>
      <c r="PEI54" s="1165"/>
      <c r="PEJ54" s="1165"/>
      <c r="PEK54" s="1165"/>
      <c r="PEL54" s="1165"/>
      <c r="PEM54" s="1165"/>
      <c r="PEN54" s="1165"/>
      <c r="PEO54" s="1165"/>
      <c r="PEP54" s="1165"/>
      <c r="PEQ54" s="1165"/>
      <c r="PER54" s="1165"/>
      <c r="PES54" s="1165"/>
      <c r="PET54" s="1165"/>
      <c r="PEU54" s="1165"/>
      <c r="PEV54" s="1165"/>
      <c r="PEW54" s="1165"/>
      <c r="PEX54" s="1165"/>
      <c r="PEY54" s="1165"/>
      <c r="PEZ54" s="1165"/>
      <c r="PFA54" s="1165"/>
      <c r="PFB54" s="1165"/>
      <c r="PFC54" s="1165"/>
      <c r="PFD54" s="1165"/>
      <c r="PFE54" s="1165"/>
      <c r="PFF54" s="1165"/>
      <c r="PFG54" s="1165"/>
      <c r="PFH54" s="1165"/>
      <c r="PFI54" s="1165"/>
      <c r="PFJ54" s="1165"/>
      <c r="PFK54" s="1165"/>
      <c r="PFL54" s="1165"/>
      <c r="PFM54" s="1165"/>
      <c r="PFN54" s="1165"/>
      <c r="PFO54" s="1165"/>
      <c r="PFP54" s="1165"/>
      <c r="PFQ54" s="1165"/>
      <c r="PFR54" s="1165"/>
      <c r="PFS54" s="1165"/>
      <c r="PFT54" s="1165"/>
      <c r="PFU54" s="1165"/>
      <c r="PFV54" s="1165"/>
      <c r="PFW54" s="1165"/>
      <c r="PFX54" s="1165"/>
      <c r="PFY54" s="1165"/>
      <c r="PFZ54" s="1165"/>
      <c r="PGA54" s="1165"/>
      <c r="PGB54" s="1165"/>
      <c r="PGC54" s="1165"/>
      <c r="PGD54" s="1165"/>
      <c r="PGE54" s="1165"/>
      <c r="PGF54" s="1165"/>
      <c r="PGG54" s="1165"/>
      <c r="PGH54" s="1165"/>
      <c r="PGI54" s="1165"/>
      <c r="PGJ54" s="1165"/>
      <c r="PGK54" s="1165"/>
      <c r="PGL54" s="1165"/>
      <c r="PGM54" s="1165"/>
      <c r="PGN54" s="1165"/>
      <c r="PGO54" s="1165"/>
      <c r="PGP54" s="1165"/>
      <c r="PGQ54" s="1165"/>
      <c r="PGR54" s="1165"/>
      <c r="PGS54" s="1165"/>
      <c r="PGT54" s="1165"/>
      <c r="PGU54" s="1165"/>
      <c r="PGV54" s="1165"/>
      <c r="PGW54" s="1165"/>
      <c r="PGX54" s="1165"/>
      <c r="PGY54" s="1165"/>
      <c r="PGZ54" s="1165"/>
      <c r="PHA54" s="1165"/>
      <c r="PHB54" s="1165"/>
      <c r="PHC54" s="1165"/>
      <c r="PHD54" s="1165"/>
      <c r="PHE54" s="1165"/>
      <c r="PHF54" s="1165"/>
      <c r="PHG54" s="1165"/>
      <c r="PHH54" s="1165"/>
      <c r="PHI54" s="1165"/>
      <c r="PHJ54" s="1165"/>
      <c r="PHK54" s="1165"/>
      <c r="PHL54" s="1165"/>
      <c r="PHM54" s="1165"/>
      <c r="PHN54" s="1165"/>
      <c r="PHO54" s="1165"/>
      <c r="PHP54" s="1165"/>
      <c r="PHQ54" s="1165"/>
      <c r="PHR54" s="1165"/>
      <c r="PHS54" s="1165"/>
      <c r="PHT54" s="1165"/>
      <c r="PHU54" s="1165"/>
      <c r="PHV54" s="1165"/>
      <c r="PHW54" s="1165"/>
      <c r="PHX54" s="1165"/>
      <c r="PHY54" s="1165"/>
      <c r="PHZ54" s="1165"/>
      <c r="PIA54" s="1165"/>
      <c r="PIB54" s="1165"/>
      <c r="PIC54" s="1165"/>
      <c r="PID54" s="1165"/>
      <c r="PIE54" s="1165"/>
      <c r="PIF54" s="1165"/>
      <c r="PIG54" s="1165"/>
      <c r="PIH54" s="1165"/>
      <c r="PII54" s="1165"/>
      <c r="PIJ54" s="1165"/>
      <c r="PIK54" s="1165"/>
      <c r="PIL54" s="1165"/>
      <c r="PIM54" s="1165"/>
      <c r="PIN54" s="1165"/>
      <c r="PIO54" s="1165"/>
      <c r="PIP54" s="1165"/>
      <c r="PIQ54" s="1165"/>
      <c r="PIR54" s="1165"/>
      <c r="PIS54" s="1165"/>
      <c r="PIT54" s="1165"/>
      <c r="PIU54" s="1165"/>
      <c r="PIV54" s="1165"/>
      <c r="PIW54" s="1165"/>
      <c r="PIX54" s="1165"/>
      <c r="PIY54" s="1165"/>
      <c r="PIZ54" s="1165"/>
      <c r="PJA54" s="1165"/>
      <c r="PJB54" s="1165"/>
      <c r="PJC54" s="1165"/>
      <c r="PJD54" s="1165"/>
      <c r="PJE54" s="1165"/>
      <c r="PJF54" s="1165"/>
      <c r="PJG54" s="1165"/>
      <c r="PJH54" s="1165"/>
      <c r="PJI54" s="1165"/>
      <c r="PJJ54" s="1165"/>
      <c r="PJK54" s="1165"/>
      <c r="PJL54" s="1165"/>
      <c r="PJM54" s="1165"/>
      <c r="PJN54" s="1165"/>
      <c r="PJO54" s="1165"/>
      <c r="PJP54" s="1165"/>
      <c r="PJQ54" s="1165"/>
      <c r="PJR54" s="1165"/>
      <c r="PJS54" s="1165"/>
      <c r="PJT54" s="1165"/>
      <c r="PJU54" s="1165"/>
      <c r="PJV54" s="1165"/>
      <c r="PJW54" s="1165"/>
      <c r="PJX54" s="1165"/>
      <c r="PJY54" s="1165"/>
      <c r="PJZ54" s="1165"/>
      <c r="PKA54" s="1165"/>
      <c r="PKB54" s="1165"/>
      <c r="PKC54" s="1165"/>
      <c r="PKD54" s="1165"/>
      <c r="PKE54" s="1165"/>
      <c r="PKF54" s="1165"/>
      <c r="PKG54" s="1165"/>
      <c r="PKH54" s="1165"/>
      <c r="PKI54" s="1165"/>
      <c r="PKJ54" s="1165"/>
      <c r="PKK54" s="1165"/>
      <c r="PKL54" s="1165"/>
      <c r="PKM54" s="1165"/>
      <c r="PKN54" s="1165"/>
      <c r="PKO54" s="1165"/>
      <c r="PKP54" s="1165"/>
      <c r="PKQ54" s="1165"/>
      <c r="PKR54" s="1165"/>
      <c r="PKS54" s="1165"/>
      <c r="PKT54" s="1165"/>
      <c r="PKU54" s="1165"/>
      <c r="PKV54" s="1165"/>
      <c r="PKW54" s="1165"/>
      <c r="PKX54" s="1165"/>
      <c r="PKY54" s="1165"/>
      <c r="PKZ54" s="1165"/>
      <c r="PLA54" s="1165"/>
      <c r="PLB54" s="1165"/>
      <c r="PLC54" s="1165"/>
      <c r="PLD54" s="1165"/>
      <c r="PLE54" s="1165"/>
      <c r="PLF54" s="1165"/>
      <c r="PLG54" s="1165"/>
      <c r="PLH54" s="1165"/>
      <c r="PLI54" s="1165"/>
      <c r="PLJ54" s="1165"/>
      <c r="PLK54" s="1165"/>
      <c r="PLL54" s="1165"/>
      <c r="PLM54" s="1165"/>
      <c r="PLN54" s="1165"/>
      <c r="PLO54" s="1165"/>
      <c r="PLP54" s="1165"/>
      <c r="PLQ54" s="1165"/>
      <c r="PLR54" s="1165"/>
      <c r="PLS54" s="1165"/>
      <c r="PLT54" s="1165"/>
      <c r="PLU54" s="1165"/>
      <c r="PLV54" s="1165"/>
      <c r="PLW54" s="1165"/>
      <c r="PLX54" s="1165"/>
      <c r="PLY54" s="1165"/>
      <c r="PLZ54" s="1165"/>
      <c r="PMA54" s="1165"/>
      <c r="PMB54" s="1165"/>
      <c r="PMC54" s="1165"/>
      <c r="PMD54" s="1165"/>
      <c r="PME54" s="1165"/>
      <c r="PMF54" s="1165"/>
      <c r="PMG54" s="1165"/>
      <c r="PMH54" s="1165"/>
      <c r="PMI54" s="1165"/>
      <c r="PMJ54" s="1165"/>
      <c r="PMK54" s="1165"/>
      <c r="PML54" s="1165"/>
      <c r="PMM54" s="1165"/>
      <c r="PMN54" s="1165"/>
      <c r="PMO54" s="1165"/>
      <c r="PMP54" s="1165"/>
      <c r="PMQ54" s="1165"/>
      <c r="PMR54" s="1165"/>
      <c r="PMS54" s="1165"/>
      <c r="PMT54" s="1165"/>
      <c r="PMU54" s="1165"/>
      <c r="PMV54" s="1165"/>
      <c r="PMW54" s="1165"/>
      <c r="PMX54" s="1165"/>
      <c r="PMY54" s="1165"/>
      <c r="PMZ54" s="1165"/>
      <c r="PNA54" s="1165"/>
      <c r="PNB54" s="1165"/>
      <c r="PNC54" s="1165"/>
      <c r="PND54" s="1165"/>
      <c r="PNE54" s="1165"/>
      <c r="PNF54" s="1165"/>
      <c r="PNG54" s="1165"/>
      <c r="PNH54" s="1165"/>
      <c r="PNI54" s="1165"/>
      <c r="PNJ54" s="1165"/>
      <c r="PNK54" s="1165"/>
      <c r="PNL54" s="1165"/>
      <c r="PNM54" s="1165"/>
      <c r="PNN54" s="1165"/>
      <c r="PNO54" s="1165"/>
      <c r="PNP54" s="1165"/>
      <c r="PNQ54" s="1165"/>
      <c r="PNR54" s="1165"/>
      <c r="PNS54" s="1165"/>
      <c r="PNT54" s="1165"/>
      <c r="PNU54" s="1165"/>
      <c r="PNV54" s="1165"/>
      <c r="PNW54" s="1165"/>
      <c r="PNX54" s="1165"/>
      <c r="PNY54" s="1165"/>
      <c r="PNZ54" s="1165"/>
      <c r="POA54" s="1165"/>
      <c r="POB54" s="1165"/>
      <c r="POC54" s="1165"/>
      <c r="POD54" s="1165"/>
      <c r="POE54" s="1165"/>
      <c r="POF54" s="1165"/>
      <c r="POG54" s="1165"/>
      <c r="POH54" s="1165"/>
      <c r="POI54" s="1165"/>
      <c r="POJ54" s="1165"/>
      <c r="POK54" s="1165"/>
      <c r="POL54" s="1165"/>
      <c r="POM54" s="1165"/>
      <c r="PON54" s="1165"/>
      <c r="POO54" s="1165"/>
      <c r="POP54" s="1165"/>
      <c r="POQ54" s="1165"/>
      <c r="POR54" s="1165"/>
      <c r="POS54" s="1165"/>
      <c r="POT54" s="1165"/>
      <c r="POU54" s="1165"/>
      <c r="POV54" s="1165"/>
      <c r="POW54" s="1165"/>
      <c r="POX54" s="1165"/>
      <c r="POY54" s="1165"/>
      <c r="POZ54" s="1165"/>
      <c r="PPA54" s="1165"/>
      <c r="PPB54" s="1165"/>
      <c r="PPC54" s="1165"/>
      <c r="PPD54" s="1165"/>
      <c r="PPE54" s="1165"/>
      <c r="PPF54" s="1165"/>
      <c r="PPG54" s="1165"/>
      <c r="PPH54" s="1165"/>
      <c r="PPI54" s="1165"/>
      <c r="PPJ54" s="1165"/>
      <c r="PPK54" s="1165"/>
      <c r="PPL54" s="1165"/>
      <c r="PPM54" s="1165"/>
      <c r="PPN54" s="1165"/>
      <c r="PPO54" s="1165"/>
      <c r="PPP54" s="1165"/>
      <c r="PPQ54" s="1165"/>
      <c r="PPR54" s="1165"/>
      <c r="PPS54" s="1165"/>
      <c r="PPT54" s="1165"/>
      <c r="PPU54" s="1165"/>
      <c r="PPV54" s="1165"/>
      <c r="PPW54" s="1165"/>
      <c r="PPX54" s="1165"/>
      <c r="PPY54" s="1165"/>
      <c r="PPZ54" s="1165"/>
      <c r="PQA54" s="1165"/>
      <c r="PQB54" s="1165"/>
      <c r="PQC54" s="1165"/>
      <c r="PQD54" s="1165"/>
      <c r="PQE54" s="1165"/>
      <c r="PQF54" s="1165"/>
      <c r="PQG54" s="1165"/>
      <c r="PQH54" s="1165"/>
      <c r="PQI54" s="1165"/>
      <c r="PQJ54" s="1165"/>
      <c r="PQK54" s="1165"/>
      <c r="PQL54" s="1165"/>
      <c r="PQM54" s="1165"/>
      <c r="PQN54" s="1165"/>
      <c r="PQO54" s="1165"/>
      <c r="PQP54" s="1165"/>
      <c r="PQQ54" s="1165"/>
      <c r="PQR54" s="1165"/>
      <c r="PQS54" s="1165"/>
      <c r="PQT54" s="1165"/>
      <c r="PQU54" s="1165"/>
      <c r="PQV54" s="1165"/>
      <c r="PQW54" s="1165"/>
      <c r="PQX54" s="1165"/>
      <c r="PQY54" s="1165"/>
      <c r="PQZ54" s="1165"/>
      <c r="PRA54" s="1165"/>
      <c r="PRB54" s="1165"/>
      <c r="PRC54" s="1165"/>
      <c r="PRD54" s="1165"/>
      <c r="PRE54" s="1165"/>
      <c r="PRF54" s="1165"/>
      <c r="PRG54" s="1165"/>
      <c r="PRH54" s="1165"/>
      <c r="PRI54" s="1165"/>
      <c r="PRJ54" s="1165"/>
      <c r="PRK54" s="1165"/>
      <c r="PRL54" s="1165"/>
      <c r="PRM54" s="1165"/>
      <c r="PRN54" s="1165"/>
      <c r="PRO54" s="1165"/>
      <c r="PRP54" s="1165"/>
      <c r="PRQ54" s="1165"/>
      <c r="PRR54" s="1165"/>
      <c r="PRS54" s="1165"/>
      <c r="PRT54" s="1165"/>
      <c r="PRU54" s="1165"/>
      <c r="PRV54" s="1165"/>
      <c r="PRW54" s="1165"/>
      <c r="PRX54" s="1165"/>
      <c r="PRY54" s="1165"/>
      <c r="PRZ54" s="1165"/>
      <c r="PSA54" s="1165"/>
      <c r="PSB54" s="1165"/>
      <c r="PSC54" s="1165"/>
      <c r="PSD54" s="1165"/>
      <c r="PSE54" s="1165"/>
      <c r="PSF54" s="1165"/>
      <c r="PSG54" s="1165"/>
      <c r="PSH54" s="1165"/>
      <c r="PSI54" s="1165"/>
      <c r="PSJ54" s="1165"/>
      <c r="PSK54" s="1165"/>
      <c r="PSL54" s="1165"/>
      <c r="PSM54" s="1165"/>
      <c r="PSN54" s="1165"/>
      <c r="PSO54" s="1165"/>
      <c r="PSP54" s="1165"/>
      <c r="PSQ54" s="1165"/>
      <c r="PSR54" s="1165"/>
      <c r="PSS54" s="1165"/>
      <c r="PST54" s="1165"/>
      <c r="PSU54" s="1165"/>
      <c r="PSV54" s="1165"/>
      <c r="PSW54" s="1165"/>
      <c r="PSX54" s="1165"/>
      <c r="PSY54" s="1165"/>
      <c r="PSZ54" s="1165"/>
      <c r="PTA54" s="1165"/>
      <c r="PTB54" s="1165"/>
      <c r="PTC54" s="1165"/>
      <c r="PTD54" s="1165"/>
      <c r="PTE54" s="1165"/>
      <c r="PTF54" s="1165"/>
      <c r="PTG54" s="1165"/>
      <c r="PTH54" s="1165"/>
      <c r="PTI54" s="1165"/>
      <c r="PTJ54" s="1165"/>
      <c r="PTK54" s="1165"/>
      <c r="PTL54" s="1165"/>
      <c r="PTM54" s="1165"/>
      <c r="PTN54" s="1165"/>
      <c r="PTO54" s="1165"/>
      <c r="PTP54" s="1165"/>
      <c r="PTQ54" s="1165"/>
      <c r="PTR54" s="1165"/>
      <c r="PTS54" s="1165"/>
      <c r="PTT54" s="1165"/>
      <c r="PTU54" s="1165"/>
      <c r="PTV54" s="1165"/>
      <c r="PTW54" s="1165"/>
      <c r="PTX54" s="1165"/>
      <c r="PTY54" s="1165"/>
      <c r="PTZ54" s="1165"/>
      <c r="PUA54" s="1165"/>
      <c r="PUB54" s="1165"/>
      <c r="PUC54" s="1165"/>
      <c r="PUD54" s="1165"/>
      <c r="PUE54" s="1165"/>
      <c r="PUF54" s="1165"/>
      <c r="PUG54" s="1165"/>
      <c r="PUH54" s="1165"/>
      <c r="PUI54" s="1165"/>
      <c r="PUJ54" s="1165"/>
      <c r="PUK54" s="1165"/>
      <c r="PUL54" s="1165"/>
      <c r="PUM54" s="1165"/>
      <c r="PUN54" s="1165"/>
      <c r="PUO54" s="1165"/>
      <c r="PUP54" s="1165"/>
      <c r="PUQ54" s="1165"/>
      <c r="PUR54" s="1165"/>
      <c r="PUS54" s="1165"/>
      <c r="PUT54" s="1165"/>
      <c r="PUU54" s="1165"/>
      <c r="PUV54" s="1165"/>
      <c r="PUW54" s="1165"/>
      <c r="PUX54" s="1165"/>
      <c r="PUY54" s="1165"/>
      <c r="PUZ54" s="1165"/>
      <c r="PVA54" s="1165"/>
      <c r="PVB54" s="1165"/>
      <c r="PVC54" s="1165"/>
      <c r="PVD54" s="1165"/>
      <c r="PVE54" s="1165"/>
      <c r="PVF54" s="1165"/>
      <c r="PVG54" s="1165"/>
      <c r="PVH54" s="1165"/>
      <c r="PVI54" s="1165"/>
      <c r="PVJ54" s="1165"/>
      <c r="PVK54" s="1165"/>
      <c r="PVL54" s="1165"/>
      <c r="PVM54" s="1165"/>
      <c r="PVN54" s="1165"/>
      <c r="PVO54" s="1165"/>
      <c r="PVP54" s="1165"/>
      <c r="PVQ54" s="1165"/>
      <c r="PVR54" s="1165"/>
      <c r="PVS54" s="1165"/>
      <c r="PVT54" s="1165"/>
      <c r="PVU54" s="1165"/>
      <c r="PVV54" s="1165"/>
      <c r="PVW54" s="1165"/>
      <c r="PVX54" s="1165"/>
      <c r="PVY54" s="1165"/>
      <c r="PVZ54" s="1165"/>
      <c r="PWA54" s="1165"/>
      <c r="PWB54" s="1165"/>
      <c r="PWC54" s="1165"/>
      <c r="PWD54" s="1165"/>
      <c r="PWE54" s="1165"/>
      <c r="PWF54" s="1165"/>
      <c r="PWG54" s="1165"/>
      <c r="PWH54" s="1165"/>
      <c r="PWI54" s="1165"/>
      <c r="PWJ54" s="1165"/>
      <c r="PWK54" s="1165"/>
      <c r="PWL54" s="1165"/>
      <c r="PWM54" s="1165"/>
      <c r="PWN54" s="1165"/>
      <c r="PWO54" s="1165"/>
      <c r="PWP54" s="1165"/>
      <c r="PWQ54" s="1165"/>
      <c r="PWR54" s="1165"/>
      <c r="PWS54" s="1165"/>
      <c r="PWT54" s="1165"/>
      <c r="PWU54" s="1165"/>
      <c r="PWV54" s="1165"/>
      <c r="PWW54" s="1165"/>
      <c r="PWX54" s="1165"/>
      <c r="PWY54" s="1165"/>
      <c r="PWZ54" s="1165"/>
      <c r="PXA54" s="1165"/>
      <c r="PXB54" s="1165"/>
      <c r="PXC54" s="1165"/>
      <c r="PXD54" s="1165"/>
      <c r="PXE54" s="1165"/>
      <c r="PXF54" s="1165"/>
      <c r="PXG54" s="1165"/>
      <c r="PXH54" s="1165"/>
      <c r="PXI54" s="1165"/>
      <c r="PXJ54" s="1165"/>
      <c r="PXK54" s="1165"/>
      <c r="PXL54" s="1165"/>
      <c r="PXM54" s="1165"/>
      <c r="PXN54" s="1165"/>
      <c r="PXO54" s="1165"/>
      <c r="PXP54" s="1165"/>
      <c r="PXQ54" s="1165"/>
      <c r="PXR54" s="1165"/>
      <c r="PXS54" s="1165"/>
      <c r="PXT54" s="1165"/>
      <c r="PXU54" s="1165"/>
      <c r="PXV54" s="1165"/>
      <c r="PXW54" s="1165"/>
      <c r="PXX54" s="1165"/>
      <c r="PXY54" s="1165"/>
      <c r="PXZ54" s="1165"/>
      <c r="PYA54" s="1165"/>
      <c r="PYB54" s="1165"/>
      <c r="PYC54" s="1165"/>
      <c r="PYD54" s="1165"/>
      <c r="PYE54" s="1165"/>
      <c r="PYF54" s="1165"/>
      <c r="PYG54" s="1165"/>
      <c r="PYH54" s="1165"/>
      <c r="PYI54" s="1165"/>
      <c r="PYJ54" s="1165"/>
      <c r="PYK54" s="1165"/>
      <c r="PYL54" s="1165"/>
      <c r="PYM54" s="1165"/>
      <c r="PYN54" s="1165"/>
      <c r="PYO54" s="1165"/>
      <c r="PYP54" s="1165"/>
      <c r="PYQ54" s="1165"/>
      <c r="PYR54" s="1165"/>
      <c r="PYS54" s="1165"/>
      <c r="PYT54" s="1165"/>
      <c r="PYU54" s="1165"/>
      <c r="PYV54" s="1165"/>
      <c r="PYW54" s="1165"/>
      <c r="PYX54" s="1165"/>
      <c r="PYY54" s="1165"/>
      <c r="PYZ54" s="1165"/>
      <c r="PZA54" s="1165"/>
      <c r="PZB54" s="1165"/>
      <c r="PZC54" s="1165"/>
      <c r="PZD54" s="1165"/>
      <c r="PZE54" s="1165"/>
      <c r="PZF54" s="1165"/>
      <c r="PZG54" s="1165"/>
      <c r="PZH54" s="1165"/>
      <c r="PZI54" s="1165"/>
      <c r="PZJ54" s="1165"/>
      <c r="PZK54" s="1165"/>
      <c r="PZL54" s="1165"/>
      <c r="PZM54" s="1165"/>
      <c r="PZN54" s="1165"/>
      <c r="PZO54" s="1165"/>
      <c r="PZP54" s="1165"/>
      <c r="PZQ54" s="1165"/>
      <c r="PZR54" s="1165"/>
      <c r="PZS54" s="1165"/>
      <c r="PZT54" s="1165"/>
      <c r="PZU54" s="1165"/>
      <c r="PZV54" s="1165"/>
      <c r="PZW54" s="1165"/>
      <c r="PZX54" s="1165"/>
      <c r="PZY54" s="1165"/>
      <c r="PZZ54" s="1165"/>
      <c r="QAA54" s="1165"/>
      <c r="QAB54" s="1165"/>
      <c r="QAC54" s="1165"/>
      <c r="QAD54" s="1165"/>
      <c r="QAE54" s="1165"/>
      <c r="QAF54" s="1165"/>
      <c r="QAG54" s="1165"/>
      <c r="QAH54" s="1165"/>
      <c r="QAI54" s="1165"/>
      <c r="QAJ54" s="1165"/>
      <c r="QAK54" s="1165"/>
      <c r="QAL54" s="1165"/>
      <c r="QAM54" s="1165"/>
      <c r="QAN54" s="1165"/>
      <c r="QAO54" s="1165"/>
      <c r="QAP54" s="1165"/>
      <c r="QAQ54" s="1165"/>
      <c r="QAR54" s="1165"/>
      <c r="QAS54" s="1165"/>
      <c r="QAT54" s="1165"/>
      <c r="QAU54" s="1165"/>
      <c r="QAV54" s="1165"/>
      <c r="QAW54" s="1165"/>
      <c r="QAX54" s="1165"/>
      <c r="QAY54" s="1165"/>
      <c r="QAZ54" s="1165"/>
      <c r="QBA54" s="1165"/>
      <c r="QBB54" s="1165"/>
      <c r="QBC54" s="1165"/>
      <c r="QBD54" s="1165"/>
      <c r="QBE54" s="1165"/>
      <c r="QBF54" s="1165"/>
      <c r="QBG54" s="1165"/>
      <c r="QBH54" s="1165"/>
      <c r="QBI54" s="1165"/>
      <c r="QBJ54" s="1165"/>
      <c r="QBK54" s="1165"/>
      <c r="QBL54" s="1165"/>
      <c r="QBM54" s="1165"/>
      <c r="QBN54" s="1165"/>
      <c r="QBO54" s="1165"/>
      <c r="QBP54" s="1165"/>
      <c r="QBQ54" s="1165"/>
      <c r="QBR54" s="1165"/>
      <c r="QBS54" s="1165"/>
      <c r="QBT54" s="1165"/>
      <c r="QBU54" s="1165"/>
      <c r="QBV54" s="1165"/>
      <c r="QBW54" s="1165"/>
      <c r="QBX54" s="1165"/>
      <c r="QBY54" s="1165"/>
      <c r="QBZ54" s="1165"/>
      <c r="QCA54" s="1165"/>
      <c r="QCB54" s="1165"/>
      <c r="QCC54" s="1165"/>
      <c r="QCD54" s="1165"/>
      <c r="QCE54" s="1165"/>
      <c r="QCF54" s="1165"/>
      <c r="QCG54" s="1165"/>
      <c r="QCH54" s="1165"/>
      <c r="QCI54" s="1165"/>
      <c r="QCJ54" s="1165"/>
      <c r="QCK54" s="1165"/>
      <c r="QCL54" s="1165"/>
      <c r="QCM54" s="1165"/>
      <c r="QCN54" s="1165"/>
      <c r="QCO54" s="1165"/>
      <c r="QCP54" s="1165"/>
      <c r="QCQ54" s="1165"/>
      <c r="QCR54" s="1165"/>
      <c r="QCS54" s="1165"/>
      <c r="QCT54" s="1165"/>
      <c r="QCU54" s="1165"/>
      <c r="QCV54" s="1165"/>
      <c r="QCW54" s="1165"/>
      <c r="QCX54" s="1165"/>
      <c r="QCY54" s="1165"/>
      <c r="QCZ54" s="1165"/>
      <c r="QDA54" s="1165"/>
      <c r="QDB54" s="1165"/>
      <c r="QDC54" s="1165"/>
      <c r="QDD54" s="1165"/>
      <c r="QDE54" s="1165"/>
      <c r="QDF54" s="1165"/>
      <c r="QDG54" s="1165"/>
      <c r="QDH54" s="1165"/>
      <c r="QDI54" s="1165"/>
      <c r="QDJ54" s="1165"/>
      <c r="QDK54" s="1165"/>
      <c r="QDL54" s="1165"/>
      <c r="QDM54" s="1165"/>
      <c r="QDN54" s="1165"/>
      <c r="QDO54" s="1165"/>
      <c r="QDP54" s="1165"/>
      <c r="QDQ54" s="1165"/>
      <c r="QDR54" s="1165"/>
      <c r="QDS54" s="1165"/>
      <c r="QDT54" s="1165"/>
      <c r="QDU54" s="1165"/>
      <c r="QDV54" s="1165"/>
      <c r="QDW54" s="1165"/>
      <c r="QDX54" s="1165"/>
      <c r="QDY54" s="1165"/>
      <c r="QDZ54" s="1165"/>
      <c r="QEA54" s="1165"/>
      <c r="QEB54" s="1165"/>
      <c r="QEC54" s="1165"/>
      <c r="QED54" s="1165"/>
      <c r="QEE54" s="1165"/>
      <c r="QEF54" s="1165"/>
      <c r="QEG54" s="1165"/>
      <c r="QEH54" s="1165"/>
      <c r="QEI54" s="1165"/>
      <c r="QEJ54" s="1165"/>
      <c r="QEK54" s="1165"/>
      <c r="QEL54" s="1165"/>
      <c r="QEM54" s="1165"/>
      <c r="QEN54" s="1165"/>
      <c r="QEO54" s="1165"/>
      <c r="QEP54" s="1165"/>
      <c r="QEQ54" s="1165"/>
      <c r="QER54" s="1165"/>
      <c r="QES54" s="1165"/>
      <c r="QET54" s="1165"/>
      <c r="QEU54" s="1165"/>
      <c r="QEV54" s="1165"/>
      <c r="QEW54" s="1165"/>
      <c r="QEX54" s="1165"/>
      <c r="QEY54" s="1165"/>
      <c r="QEZ54" s="1165"/>
      <c r="QFA54" s="1165"/>
      <c r="QFB54" s="1165"/>
      <c r="QFC54" s="1165"/>
      <c r="QFD54" s="1165"/>
      <c r="QFE54" s="1165"/>
      <c r="QFF54" s="1165"/>
      <c r="QFG54" s="1165"/>
      <c r="QFH54" s="1165"/>
      <c r="QFI54" s="1165"/>
      <c r="QFJ54" s="1165"/>
      <c r="QFK54" s="1165"/>
      <c r="QFL54" s="1165"/>
      <c r="QFM54" s="1165"/>
      <c r="QFN54" s="1165"/>
      <c r="QFO54" s="1165"/>
      <c r="QFP54" s="1165"/>
      <c r="QFQ54" s="1165"/>
      <c r="QFR54" s="1165"/>
      <c r="QFS54" s="1165"/>
      <c r="QFT54" s="1165"/>
      <c r="QFU54" s="1165"/>
      <c r="QFV54" s="1165"/>
      <c r="QFW54" s="1165"/>
      <c r="QFX54" s="1165"/>
      <c r="QFY54" s="1165"/>
      <c r="QFZ54" s="1165"/>
      <c r="QGA54" s="1165"/>
      <c r="QGB54" s="1165"/>
      <c r="QGC54" s="1165"/>
      <c r="QGD54" s="1165"/>
      <c r="QGE54" s="1165"/>
      <c r="QGF54" s="1165"/>
      <c r="QGG54" s="1165"/>
      <c r="QGH54" s="1165"/>
      <c r="QGI54" s="1165"/>
      <c r="QGJ54" s="1165"/>
      <c r="QGK54" s="1165"/>
      <c r="QGL54" s="1165"/>
      <c r="QGM54" s="1165"/>
      <c r="QGN54" s="1165"/>
      <c r="QGO54" s="1165"/>
      <c r="QGP54" s="1165"/>
      <c r="QGQ54" s="1165"/>
      <c r="QGR54" s="1165"/>
      <c r="QGS54" s="1165"/>
      <c r="QGT54" s="1165"/>
      <c r="QGU54" s="1165"/>
      <c r="QGV54" s="1165"/>
      <c r="QGW54" s="1165"/>
      <c r="QGX54" s="1165"/>
      <c r="QGY54" s="1165"/>
      <c r="QGZ54" s="1165"/>
      <c r="QHA54" s="1165"/>
      <c r="QHB54" s="1165"/>
      <c r="QHC54" s="1165"/>
      <c r="QHD54" s="1165"/>
      <c r="QHE54" s="1165"/>
      <c r="QHF54" s="1165"/>
      <c r="QHG54" s="1165"/>
      <c r="QHH54" s="1165"/>
      <c r="QHI54" s="1165"/>
      <c r="QHJ54" s="1165"/>
      <c r="QHK54" s="1165"/>
      <c r="QHL54" s="1165"/>
      <c r="QHM54" s="1165"/>
      <c r="QHN54" s="1165"/>
      <c r="QHO54" s="1165"/>
      <c r="QHP54" s="1165"/>
      <c r="QHQ54" s="1165"/>
      <c r="QHR54" s="1165"/>
      <c r="QHS54" s="1165"/>
      <c r="QHT54" s="1165"/>
      <c r="QHU54" s="1165"/>
      <c r="QHV54" s="1165"/>
      <c r="QHW54" s="1165"/>
      <c r="QHX54" s="1165"/>
      <c r="QHY54" s="1165"/>
      <c r="QHZ54" s="1165"/>
      <c r="QIA54" s="1165"/>
      <c r="QIB54" s="1165"/>
      <c r="QIC54" s="1165"/>
      <c r="QID54" s="1165"/>
      <c r="QIE54" s="1165"/>
      <c r="QIF54" s="1165"/>
      <c r="QIG54" s="1165"/>
      <c r="QIH54" s="1165"/>
      <c r="QII54" s="1165"/>
      <c r="QIJ54" s="1165"/>
      <c r="QIK54" s="1165"/>
      <c r="QIL54" s="1165"/>
      <c r="QIM54" s="1165"/>
      <c r="QIN54" s="1165"/>
      <c r="QIO54" s="1165"/>
      <c r="QIP54" s="1165"/>
      <c r="QIQ54" s="1165"/>
      <c r="QIR54" s="1165"/>
      <c r="QIS54" s="1165"/>
      <c r="QIT54" s="1165"/>
      <c r="QIU54" s="1165"/>
      <c r="QIV54" s="1165"/>
      <c r="QIW54" s="1165"/>
      <c r="QIX54" s="1165"/>
      <c r="QIY54" s="1165"/>
      <c r="QIZ54" s="1165"/>
      <c r="QJA54" s="1165"/>
      <c r="QJB54" s="1165"/>
      <c r="QJC54" s="1165"/>
      <c r="QJD54" s="1165"/>
      <c r="QJE54" s="1165"/>
      <c r="QJF54" s="1165"/>
      <c r="QJG54" s="1165"/>
      <c r="QJH54" s="1165"/>
      <c r="QJI54" s="1165"/>
      <c r="QJJ54" s="1165"/>
      <c r="QJK54" s="1165"/>
      <c r="QJL54" s="1165"/>
      <c r="QJM54" s="1165"/>
      <c r="QJN54" s="1165"/>
      <c r="QJO54" s="1165"/>
      <c r="QJP54" s="1165"/>
      <c r="QJQ54" s="1165"/>
      <c r="QJR54" s="1165"/>
      <c r="QJS54" s="1165"/>
      <c r="QJT54" s="1165"/>
      <c r="QJU54" s="1165"/>
      <c r="QJV54" s="1165"/>
      <c r="QJW54" s="1165"/>
      <c r="QJX54" s="1165"/>
      <c r="QJY54" s="1165"/>
      <c r="QJZ54" s="1165"/>
      <c r="QKA54" s="1165"/>
      <c r="QKB54" s="1165"/>
      <c r="QKC54" s="1165"/>
      <c r="QKD54" s="1165"/>
      <c r="QKE54" s="1165"/>
      <c r="QKF54" s="1165"/>
      <c r="QKG54" s="1165"/>
      <c r="QKH54" s="1165"/>
      <c r="QKI54" s="1165"/>
      <c r="QKJ54" s="1165"/>
      <c r="QKK54" s="1165"/>
      <c r="QKL54" s="1165"/>
      <c r="QKM54" s="1165"/>
      <c r="QKN54" s="1165"/>
      <c r="QKO54" s="1165"/>
      <c r="QKP54" s="1165"/>
      <c r="QKQ54" s="1165"/>
      <c r="QKR54" s="1165"/>
      <c r="QKS54" s="1165"/>
      <c r="QKT54" s="1165"/>
      <c r="QKU54" s="1165"/>
      <c r="QKV54" s="1165"/>
      <c r="QKW54" s="1165"/>
      <c r="QKX54" s="1165"/>
      <c r="QKY54" s="1165"/>
      <c r="QKZ54" s="1165"/>
      <c r="QLA54" s="1165"/>
      <c r="QLB54" s="1165"/>
      <c r="QLC54" s="1165"/>
      <c r="QLD54" s="1165"/>
      <c r="QLE54" s="1165"/>
      <c r="QLF54" s="1165"/>
      <c r="QLG54" s="1165"/>
      <c r="QLH54" s="1165"/>
      <c r="QLI54" s="1165"/>
      <c r="QLJ54" s="1165"/>
      <c r="QLK54" s="1165"/>
      <c r="QLL54" s="1165"/>
      <c r="QLM54" s="1165"/>
      <c r="QLN54" s="1165"/>
      <c r="QLO54" s="1165"/>
      <c r="QLP54" s="1165"/>
      <c r="QLQ54" s="1165"/>
      <c r="QLR54" s="1165"/>
      <c r="QLS54" s="1165"/>
      <c r="QLT54" s="1165"/>
      <c r="QLU54" s="1165"/>
      <c r="QLV54" s="1165"/>
      <c r="QLW54" s="1165"/>
      <c r="QLX54" s="1165"/>
      <c r="QLY54" s="1165"/>
      <c r="QLZ54" s="1165"/>
      <c r="QMA54" s="1165"/>
      <c r="QMB54" s="1165"/>
      <c r="QMC54" s="1165"/>
      <c r="QMD54" s="1165"/>
      <c r="QME54" s="1165"/>
      <c r="QMF54" s="1165"/>
      <c r="QMG54" s="1165"/>
      <c r="QMH54" s="1165"/>
      <c r="QMI54" s="1165"/>
      <c r="QMJ54" s="1165"/>
      <c r="QMK54" s="1165"/>
      <c r="QML54" s="1165"/>
      <c r="QMM54" s="1165"/>
      <c r="QMN54" s="1165"/>
      <c r="QMO54" s="1165"/>
      <c r="QMP54" s="1165"/>
      <c r="QMQ54" s="1165"/>
      <c r="QMR54" s="1165"/>
      <c r="QMS54" s="1165"/>
      <c r="QMT54" s="1165"/>
      <c r="QMU54" s="1165"/>
      <c r="QMV54" s="1165"/>
      <c r="QMW54" s="1165"/>
      <c r="QMX54" s="1165"/>
      <c r="QMY54" s="1165"/>
      <c r="QMZ54" s="1165"/>
      <c r="QNA54" s="1165"/>
      <c r="QNB54" s="1165"/>
      <c r="QNC54" s="1165"/>
      <c r="QND54" s="1165"/>
      <c r="QNE54" s="1165"/>
      <c r="QNF54" s="1165"/>
      <c r="QNG54" s="1165"/>
      <c r="QNH54" s="1165"/>
      <c r="QNI54" s="1165"/>
      <c r="QNJ54" s="1165"/>
      <c r="QNK54" s="1165"/>
      <c r="QNL54" s="1165"/>
      <c r="QNM54" s="1165"/>
      <c r="QNN54" s="1165"/>
      <c r="QNO54" s="1165"/>
      <c r="QNP54" s="1165"/>
      <c r="QNQ54" s="1165"/>
      <c r="QNR54" s="1165"/>
      <c r="QNS54" s="1165"/>
      <c r="QNT54" s="1165"/>
      <c r="QNU54" s="1165"/>
      <c r="QNV54" s="1165"/>
      <c r="QNW54" s="1165"/>
      <c r="QNX54" s="1165"/>
      <c r="QNY54" s="1165"/>
      <c r="QNZ54" s="1165"/>
      <c r="QOA54" s="1165"/>
      <c r="QOB54" s="1165"/>
      <c r="QOC54" s="1165"/>
      <c r="QOD54" s="1165"/>
      <c r="QOE54" s="1165"/>
      <c r="QOF54" s="1165"/>
      <c r="QOG54" s="1165"/>
      <c r="QOH54" s="1165"/>
      <c r="QOI54" s="1165"/>
      <c r="QOJ54" s="1165"/>
      <c r="QOK54" s="1165"/>
      <c r="QOL54" s="1165"/>
      <c r="QOM54" s="1165"/>
      <c r="QON54" s="1165"/>
      <c r="QOO54" s="1165"/>
      <c r="QOP54" s="1165"/>
      <c r="QOQ54" s="1165"/>
      <c r="QOR54" s="1165"/>
      <c r="QOS54" s="1165"/>
      <c r="QOT54" s="1165"/>
      <c r="QOU54" s="1165"/>
      <c r="QOV54" s="1165"/>
      <c r="QOW54" s="1165"/>
      <c r="QOX54" s="1165"/>
      <c r="QOY54" s="1165"/>
      <c r="QOZ54" s="1165"/>
      <c r="QPA54" s="1165"/>
      <c r="QPB54" s="1165"/>
      <c r="QPC54" s="1165"/>
      <c r="QPD54" s="1165"/>
      <c r="QPE54" s="1165"/>
      <c r="QPF54" s="1165"/>
      <c r="QPG54" s="1165"/>
      <c r="QPH54" s="1165"/>
      <c r="QPI54" s="1165"/>
      <c r="QPJ54" s="1165"/>
      <c r="QPK54" s="1165"/>
      <c r="QPL54" s="1165"/>
      <c r="QPM54" s="1165"/>
      <c r="QPN54" s="1165"/>
      <c r="QPO54" s="1165"/>
      <c r="QPP54" s="1165"/>
      <c r="QPQ54" s="1165"/>
      <c r="QPR54" s="1165"/>
      <c r="QPS54" s="1165"/>
      <c r="QPT54" s="1165"/>
      <c r="QPU54" s="1165"/>
      <c r="QPV54" s="1165"/>
      <c r="QPW54" s="1165"/>
      <c r="QPX54" s="1165"/>
      <c r="QPY54" s="1165"/>
      <c r="QPZ54" s="1165"/>
      <c r="QQA54" s="1165"/>
      <c r="QQB54" s="1165"/>
      <c r="QQC54" s="1165"/>
      <c r="QQD54" s="1165"/>
      <c r="QQE54" s="1165"/>
      <c r="QQF54" s="1165"/>
      <c r="QQG54" s="1165"/>
      <c r="QQH54" s="1165"/>
      <c r="QQI54" s="1165"/>
      <c r="QQJ54" s="1165"/>
      <c r="QQK54" s="1165"/>
      <c r="QQL54" s="1165"/>
      <c r="QQM54" s="1165"/>
      <c r="QQN54" s="1165"/>
      <c r="QQO54" s="1165"/>
      <c r="QQP54" s="1165"/>
      <c r="QQQ54" s="1165"/>
      <c r="QQR54" s="1165"/>
      <c r="QQS54" s="1165"/>
      <c r="QQT54" s="1165"/>
      <c r="QQU54" s="1165"/>
      <c r="QQV54" s="1165"/>
      <c r="QQW54" s="1165"/>
      <c r="QQX54" s="1165"/>
      <c r="QQY54" s="1165"/>
      <c r="QQZ54" s="1165"/>
      <c r="QRA54" s="1165"/>
      <c r="QRB54" s="1165"/>
      <c r="QRC54" s="1165"/>
      <c r="QRD54" s="1165"/>
      <c r="QRE54" s="1165"/>
      <c r="QRF54" s="1165"/>
      <c r="QRG54" s="1165"/>
      <c r="QRH54" s="1165"/>
      <c r="QRI54" s="1165"/>
      <c r="QRJ54" s="1165"/>
      <c r="QRK54" s="1165"/>
      <c r="QRL54" s="1165"/>
      <c r="QRM54" s="1165"/>
      <c r="QRN54" s="1165"/>
      <c r="QRO54" s="1165"/>
      <c r="QRP54" s="1165"/>
      <c r="QRQ54" s="1165"/>
      <c r="QRR54" s="1165"/>
      <c r="QRS54" s="1165"/>
      <c r="QRT54" s="1165"/>
      <c r="QRU54" s="1165"/>
      <c r="QRV54" s="1165"/>
      <c r="QRW54" s="1165"/>
      <c r="QRX54" s="1165"/>
      <c r="QRY54" s="1165"/>
      <c r="QRZ54" s="1165"/>
      <c r="QSA54" s="1165"/>
      <c r="QSB54" s="1165"/>
      <c r="QSC54" s="1165"/>
      <c r="QSD54" s="1165"/>
      <c r="QSE54" s="1165"/>
      <c r="QSF54" s="1165"/>
      <c r="QSG54" s="1165"/>
      <c r="QSH54" s="1165"/>
      <c r="QSI54" s="1165"/>
      <c r="QSJ54" s="1165"/>
      <c r="QSK54" s="1165"/>
      <c r="QSL54" s="1165"/>
      <c r="QSM54" s="1165"/>
      <c r="QSN54" s="1165"/>
      <c r="QSO54" s="1165"/>
      <c r="QSP54" s="1165"/>
      <c r="QSQ54" s="1165"/>
      <c r="QSR54" s="1165"/>
      <c r="QSS54" s="1165"/>
      <c r="QST54" s="1165"/>
      <c r="QSU54" s="1165"/>
      <c r="QSV54" s="1165"/>
      <c r="QSW54" s="1165"/>
      <c r="QSX54" s="1165"/>
      <c r="QSY54" s="1165"/>
      <c r="QSZ54" s="1165"/>
      <c r="QTA54" s="1165"/>
      <c r="QTB54" s="1165"/>
      <c r="QTC54" s="1165"/>
      <c r="QTD54" s="1165"/>
      <c r="QTE54" s="1165"/>
      <c r="QTF54" s="1165"/>
      <c r="QTG54" s="1165"/>
      <c r="QTH54" s="1165"/>
      <c r="QTI54" s="1165"/>
      <c r="QTJ54" s="1165"/>
      <c r="QTK54" s="1165"/>
      <c r="QTL54" s="1165"/>
      <c r="QTM54" s="1165"/>
      <c r="QTN54" s="1165"/>
      <c r="QTO54" s="1165"/>
      <c r="QTP54" s="1165"/>
      <c r="QTQ54" s="1165"/>
      <c r="QTR54" s="1165"/>
      <c r="QTS54" s="1165"/>
      <c r="QTT54" s="1165"/>
      <c r="QTU54" s="1165"/>
      <c r="QTV54" s="1165"/>
      <c r="QTW54" s="1165"/>
      <c r="QTX54" s="1165"/>
      <c r="QTY54" s="1165"/>
      <c r="QTZ54" s="1165"/>
      <c r="QUA54" s="1165"/>
      <c r="QUB54" s="1165"/>
      <c r="QUC54" s="1165"/>
      <c r="QUD54" s="1165"/>
      <c r="QUE54" s="1165"/>
      <c r="QUF54" s="1165"/>
      <c r="QUG54" s="1165"/>
      <c r="QUH54" s="1165"/>
      <c r="QUI54" s="1165"/>
      <c r="QUJ54" s="1165"/>
      <c r="QUK54" s="1165"/>
      <c r="QUL54" s="1165"/>
      <c r="QUM54" s="1165"/>
      <c r="QUN54" s="1165"/>
      <c r="QUO54" s="1165"/>
      <c r="QUP54" s="1165"/>
      <c r="QUQ54" s="1165"/>
      <c r="QUR54" s="1165"/>
      <c r="QUS54" s="1165"/>
      <c r="QUT54" s="1165"/>
      <c r="QUU54" s="1165"/>
      <c r="QUV54" s="1165"/>
      <c r="QUW54" s="1165"/>
      <c r="QUX54" s="1165"/>
      <c r="QUY54" s="1165"/>
      <c r="QUZ54" s="1165"/>
      <c r="QVA54" s="1165"/>
      <c r="QVB54" s="1165"/>
      <c r="QVC54" s="1165"/>
      <c r="QVD54" s="1165"/>
      <c r="QVE54" s="1165"/>
      <c r="QVF54" s="1165"/>
      <c r="QVG54" s="1165"/>
      <c r="QVH54" s="1165"/>
      <c r="QVI54" s="1165"/>
      <c r="QVJ54" s="1165"/>
      <c r="QVK54" s="1165"/>
      <c r="QVL54" s="1165"/>
      <c r="QVM54" s="1165"/>
      <c r="QVN54" s="1165"/>
      <c r="QVO54" s="1165"/>
      <c r="QVP54" s="1165"/>
      <c r="QVQ54" s="1165"/>
      <c r="QVR54" s="1165"/>
      <c r="QVS54" s="1165"/>
      <c r="QVT54" s="1165"/>
      <c r="QVU54" s="1165"/>
      <c r="QVV54" s="1165"/>
      <c r="QVW54" s="1165"/>
      <c r="QVX54" s="1165"/>
      <c r="QVY54" s="1165"/>
      <c r="QVZ54" s="1165"/>
      <c r="QWA54" s="1165"/>
      <c r="QWB54" s="1165"/>
      <c r="QWC54" s="1165"/>
      <c r="QWD54" s="1165"/>
      <c r="QWE54" s="1165"/>
      <c r="QWF54" s="1165"/>
      <c r="QWG54" s="1165"/>
      <c r="QWH54" s="1165"/>
      <c r="QWI54" s="1165"/>
      <c r="QWJ54" s="1165"/>
      <c r="QWK54" s="1165"/>
      <c r="QWL54" s="1165"/>
      <c r="QWM54" s="1165"/>
      <c r="QWN54" s="1165"/>
      <c r="QWO54" s="1165"/>
      <c r="QWP54" s="1165"/>
      <c r="QWQ54" s="1165"/>
      <c r="QWR54" s="1165"/>
      <c r="QWS54" s="1165"/>
      <c r="QWT54" s="1165"/>
      <c r="QWU54" s="1165"/>
      <c r="QWV54" s="1165"/>
      <c r="QWW54" s="1165"/>
      <c r="QWX54" s="1165"/>
      <c r="QWY54" s="1165"/>
      <c r="QWZ54" s="1165"/>
      <c r="QXA54" s="1165"/>
      <c r="QXB54" s="1165"/>
      <c r="QXC54" s="1165"/>
      <c r="QXD54" s="1165"/>
      <c r="QXE54" s="1165"/>
      <c r="QXF54" s="1165"/>
      <c r="QXG54" s="1165"/>
      <c r="QXH54" s="1165"/>
      <c r="QXI54" s="1165"/>
      <c r="QXJ54" s="1165"/>
      <c r="QXK54" s="1165"/>
      <c r="QXL54" s="1165"/>
      <c r="QXM54" s="1165"/>
      <c r="QXN54" s="1165"/>
      <c r="QXO54" s="1165"/>
      <c r="QXP54" s="1165"/>
      <c r="QXQ54" s="1165"/>
      <c r="QXR54" s="1165"/>
      <c r="QXS54" s="1165"/>
      <c r="QXT54" s="1165"/>
      <c r="QXU54" s="1165"/>
      <c r="QXV54" s="1165"/>
      <c r="QXW54" s="1165"/>
      <c r="QXX54" s="1165"/>
      <c r="QXY54" s="1165"/>
      <c r="QXZ54" s="1165"/>
      <c r="QYA54" s="1165"/>
      <c r="QYB54" s="1165"/>
      <c r="QYC54" s="1165"/>
      <c r="QYD54" s="1165"/>
      <c r="QYE54" s="1165"/>
      <c r="QYF54" s="1165"/>
      <c r="QYG54" s="1165"/>
      <c r="QYH54" s="1165"/>
      <c r="QYI54" s="1165"/>
      <c r="QYJ54" s="1165"/>
      <c r="QYK54" s="1165"/>
      <c r="QYL54" s="1165"/>
      <c r="QYM54" s="1165"/>
      <c r="QYN54" s="1165"/>
      <c r="QYO54" s="1165"/>
      <c r="QYP54" s="1165"/>
      <c r="QYQ54" s="1165"/>
      <c r="QYR54" s="1165"/>
      <c r="QYS54" s="1165"/>
      <c r="QYT54" s="1165"/>
      <c r="QYU54" s="1165"/>
      <c r="QYV54" s="1165"/>
      <c r="QYW54" s="1165"/>
      <c r="QYX54" s="1165"/>
      <c r="QYY54" s="1165"/>
      <c r="QYZ54" s="1165"/>
      <c r="QZA54" s="1165"/>
      <c r="QZB54" s="1165"/>
      <c r="QZC54" s="1165"/>
      <c r="QZD54" s="1165"/>
      <c r="QZE54" s="1165"/>
      <c r="QZF54" s="1165"/>
      <c r="QZG54" s="1165"/>
      <c r="QZH54" s="1165"/>
      <c r="QZI54" s="1165"/>
      <c r="QZJ54" s="1165"/>
      <c r="QZK54" s="1165"/>
      <c r="QZL54" s="1165"/>
      <c r="QZM54" s="1165"/>
      <c r="QZN54" s="1165"/>
      <c r="QZO54" s="1165"/>
      <c r="QZP54" s="1165"/>
      <c r="QZQ54" s="1165"/>
      <c r="QZR54" s="1165"/>
      <c r="QZS54" s="1165"/>
      <c r="QZT54" s="1165"/>
      <c r="QZU54" s="1165"/>
      <c r="QZV54" s="1165"/>
      <c r="QZW54" s="1165"/>
      <c r="QZX54" s="1165"/>
      <c r="QZY54" s="1165"/>
      <c r="QZZ54" s="1165"/>
      <c r="RAA54" s="1165"/>
      <c r="RAB54" s="1165"/>
      <c r="RAC54" s="1165"/>
      <c r="RAD54" s="1165"/>
      <c r="RAE54" s="1165"/>
      <c r="RAF54" s="1165"/>
      <c r="RAG54" s="1165"/>
      <c r="RAH54" s="1165"/>
      <c r="RAI54" s="1165"/>
      <c r="RAJ54" s="1165"/>
      <c r="RAK54" s="1165"/>
      <c r="RAL54" s="1165"/>
      <c r="RAM54" s="1165"/>
      <c r="RAN54" s="1165"/>
      <c r="RAO54" s="1165"/>
      <c r="RAP54" s="1165"/>
      <c r="RAQ54" s="1165"/>
      <c r="RAR54" s="1165"/>
      <c r="RAS54" s="1165"/>
      <c r="RAT54" s="1165"/>
      <c r="RAU54" s="1165"/>
      <c r="RAV54" s="1165"/>
      <c r="RAW54" s="1165"/>
      <c r="RAX54" s="1165"/>
      <c r="RAY54" s="1165"/>
      <c r="RAZ54" s="1165"/>
      <c r="RBA54" s="1165"/>
      <c r="RBB54" s="1165"/>
      <c r="RBC54" s="1165"/>
      <c r="RBD54" s="1165"/>
      <c r="RBE54" s="1165"/>
      <c r="RBF54" s="1165"/>
      <c r="RBG54" s="1165"/>
      <c r="RBH54" s="1165"/>
      <c r="RBI54" s="1165"/>
      <c r="RBJ54" s="1165"/>
      <c r="RBK54" s="1165"/>
      <c r="RBL54" s="1165"/>
      <c r="RBM54" s="1165"/>
      <c r="RBN54" s="1165"/>
      <c r="RBO54" s="1165"/>
      <c r="RBP54" s="1165"/>
      <c r="RBQ54" s="1165"/>
      <c r="RBR54" s="1165"/>
      <c r="RBS54" s="1165"/>
      <c r="RBT54" s="1165"/>
      <c r="RBU54" s="1165"/>
      <c r="RBV54" s="1165"/>
      <c r="RBW54" s="1165"/>
      <c r="RBX54" s="1165"/>
      <c r="RBY54" s="1165"/>
      <c r="RBZ54" s="1165"/>
      <c r="RCA54" s="1165"/>
      <c r="RCB54" s="1165"/>
      <c r="RCC54" s="1165"/>
      <c r="RCD54" s="1165"/>
      <c r="RCE54" s="1165"/>
      <c r="RCF54" s="1165"/>
      <c r="RCG54" s="1165"/>
      <c r="RCH54" s="1165"/>
      <c r="RCI54" s="1165"/>
      <c r="RCJ54" s="1165"/>
      <c r="RCK54" s="1165"/>
      <c r="RCL54" s="1165"/>
      <c r="RCM54" s="1165"/>
      <c r="RCN54" s="1165"/>
      <c r="RCO54" s="1165"/>
      <c r="RCP54" s="1165"/>
      <c r="RCQ54" s="1165"/>
      <c r="RCR54" s="1165"/>
      <c r="RCS54" s="1165"/>
      <c r="RCT54" s="1165"/>
      <c r="RCU54" s="1165"/>
      <c r="RCV54" s="1165"/>
      <c r="RCW54" s="1165"/>
      <c r="RCX54" s="1165"/>
      <c r="RCY54" s="1165"/>
      <c r="RCZ54" s="1165"/>
      <c r="RDA54" s="1165"/>
      <c r="RDB54" s="1165"/>
      <c r="RDC54" s="1165"/>
      <c r="RDD54" s="1165"/>
      <c r="RDE54" s="1165"/>
      <c r="RDF54" s="1165"/>
      <c r="RDG54" s="1165"/>
      <c r="RDH54" s="1165"/>
      <c r="RDI54" s="1165"/>
      <c r="RDJ54" s="1165"/>
      <c r="RDK54" s="1165"/>
      <c r="RDL54" s="1165"/>
      <c r="RDM54" s="1165"/>
      <c r="RDN54" s="1165"/>
      <c r="RDO54" s="1165"/>
      <c r="RDP54" s="1165"/>
      <c r="RDQ54" s="1165"/>
      <c r="RDR54" s="1165"/>
      <c r="RDS54" s="1165"/>
      <c r="RDT54" s="1165"/>
      <c r="RDU54" s="1165"/>
      <c r="RDV54" s="1165"/>
      <c r="RDW54" s="1165"/>
      <c r="RDX54" s="1165"/>
      <c r="RDY54" s="1165"/>
      <c r="RDZ54" s="1165"/>
      <c r="REA54" s="1165"/>
      <c r="REB54" s="1165"/>
      <c r="REC54" s="1165"/>
      <c r="RED54" s="1165"/>
      <c r="REE54" s="1165"/>
      <c r="REF54" s="1165"/>
      <c r="REG54" s="1165"/>
      <c r="REH54" s="1165"/>
      <c r="REI54" s="1165"/>
      <c r="REJ54" s="1165"/>
      <c r="REK54" s="1165"/>
      <c r="REL54" s="1165"/>
      <c r="REM54" s="1165"/>
      <c r="REN54" s="1165"/>
      <c r="REO54" s="1165"/>
      <c r="REP54" s="1165"/>
      <c r="REQ54" s="1165"/>
      <c r="RER54" s="1165"/>
      <c r="RES54" s="1165"/>
      <c r="RET54" s="1165"/>
      <c r="REU54" s="1165"/>
      <c r="REV54" s="1165"/>
      <c r="REW54" s="1165"/>
      <c r="REX54" s="1165"/>
      <c r="REY54" s="1165"/>
      <c r="REZ54" s="1165"/>
      <c r="RFA54" s="1165"/>
      <c r="RFB54" s="1165"/>
      <c r="RFC54" s="1165"/>
      <c r="RFD54" s="1165"/>
      <c r="RFE54" s="1165"/>
      <c r="RFF54" s="1165"/>
      <c r="RFG54" s="1165"/>
      <c r="RFH54" s="1165"/>
      <c r="RFI54" s="1165"/>
      <c r="RFJ54" s="1165"/>
      <c r="RFK54" s="1165"/>
      <c r="RFL54" s="1165"/>
      <c r="RFM54" s="1165"/>
      <c r="RFN54" s="1165"/>
      <c r="RFO54" s="1165"/>
      <c r="RFP54" s="1165"/>
      <c r="RFQ54" s="1165"/>
      <c r="RFR54" s="1165"/>
      <c r="RFS54" s="1165"/>
      <c r="RFT54" s="1165"/>
      <c r="RFU54" s="1165"/>
      <c r="RFV54" s="1165"/>
      <c r="RFW54" s="1165"/>
      <c r="RFX54" s="1165"/>
      <c r="RFY54" s="1165"/>
      <c r="RFZ54" s="1165"/>
      <c r="RGA54" s="1165"/>
      <c r="RGB54" s="1165"/>
      <c r="RGC54" s="1165"/>
      <c r="RGD54" s="1165"/>
      <c r="RGE54" s="1165"/>
      <c r="RGF54" s="1165"/>
      <c r="RGG54" s="1165"/>
      <c r="RGH54" s="1165"/>
      <c r="RGI54" s="1165"/>
      <c r="RGJ54" s="1165"/>
      <c r="RGK54" s="1165"/>
      <c r="RGL54" s="1165"/>
      <c r="RGM54" s="1165"/>
      <c r="RGN54" s="1165"/>
      <c r="RGO54" s="1165"/>
      <c r="RGP54" s="1165"/>
      <c r="RGQ54" s="1165"/>
      <c r="RGR54" s="1165"/>
      <c r="RGS54" s="1165"/>
      <c r="RGT54" s="1165"/>
      <c r="RGU54" s="1165"/>
      <c r="RGV54" s="1165"/>
      <c r="RGW54" s="1165"/>
      <c r="RGX54" s="1165"/>
      <c r="RGY54" s="1165"/>
      <c r="RGZ54" s="1165"/>
      <c r="RHA54" s="1165"/>
      <c r="RHB54" s="1165"/>
      <c r="RHC54" s="1165"/>
      <c r="RHD54" s="1165"/>
      <c r="RHE54" s="1165"/>
      <c r="RHF54" s="1165"/>
      <c r="RHG54" s="1165"/>
      <c r="RHH54" s="1165"/>
      <c r="RHI54" s="1165"/>
      <c r="RHJ54" s="1165"/>
      <c r="RHK54" s="1165"/>
      <c r="RHL54" s="1165"/>
      <c r="RHM54" s="1165"/>
      <c r="RHN54" s="1165"/>
      <c r="RHO54" s="1165"/>
      <c r="RHP54" s="1165"/>
      <c r="RHQ54" s="1165"/>
      <c r="RHR54" s="1165"/>
      <c r="RHS54" s="1165"/>
      <c r="RHT54" s="1165"/>
      <c r="RHU54" s="1165"/>
      <c r="RHV54" s="1165"/>
      <c r="RHW54" s="1165"/>
      <c r="RHX54" s="1165"/>
      <c r="RHY54" s="1165"/>
      <c r="RHZ54" s="1165"/>
      <c r="RIA54" s="1165"/>
      <c r="RIB54" s="1165"/>
      <c r="RIC54" s="1165"/>
      <c r="RID54" s="1165"/>
      <c r="RIE54" s="1165"/>
      <c r="RIF54" s="1165"/>
      <c r="RIG54" s="1165"/>
      <c r="RIH54" s="1165"/>
      <c r="RII54" s="1165"/>
      <c r="RIJ54" s="1165"/>
      <c r="RIK54" s="1165"/>
      <c r="RIL54" s="1165"/>
      <c r="RIM54" s="1165"/>
      <c r="RIN54" s="1165"/>
      <c r="RIO54" s="1165"/>
      <c r="RIP54" s="1165"/>
      <c r="RIQ54" s="1165"/>
      <c r="RIR54" s="1165"/>
      <c r="RIS54" s="1165"/>
      <c r="RIT54" s="1165"/>
      <c r="RIU54" s="1165"/>
      <c r="RIV54" s="1165"/>
      <c r="RIW54" s="1165"/>
      <c r="RIX54" s="1165"/>
      <c r="RIY54" s="1165"/>
      <c r="RIZ54" s="1165"/>
      <c r="RJA54" s="1165"/>
      <c r="RJB54" s="1165"/>
      <c r="RJC54" s="1165"/>
      <c r="RJD54" s="1165"/>
      <c r="RJE54" s="1165"/>
      <c r="RJF54" s="1165"/>
      <c r="RJG54" s="1165"/>
      <c r="RJH54" s="1165"/>
      <c r="RJI54" s="1165"/>
      <c r="RJJ54" s="1165"/>
      <c r="RJK54" s="1165"/>
      <c r="RJL54" s="1165"/>
      <c r="RJM54" s="1165"/>
      <c r="RJN54" s="1165"/>
      <c r="RJO54" s="1165"/>
      <c r="RJP54" s="1165"/>
      <c r="RJQ54" s="1165"/>
      <c r="RJR54" s="1165"/>
      <c r="RJS54" s="1165"/>
      <c r="RJT54" s="1165"/>
      <c r="RJU54" s="1165"/>
      <c r="RJV54" s="1165"/>
      <c r="RJW54" s="1165"/>
      <c r="RJX54" s="1165"/>
      <c r="RJY54" s="1165"/>
      <c r="RJZ54" s="1165"/>
      <c r="RKA54" s="1165"/>
      <c r="RKB54" s="1165"/>
      <c r="RKC54" s="1165"/>
      <c r="RKD54" s="1165"/>
      <c r="RKE54" s="1165"/>
      <c r="RKF54" s="1165"/>
      <c r="RKG54" s="1165"/>
      <c r="RKH54" s="1165"/>
      <c r="RKI54" s="1165"/>
      <c r="RKJ54" s="1165"/>
      <c r="RKK54" s="1165"/>
      <c r="RKL54" s="1165"/>
      <c r="RKM54" s="1165"/>
      <c r="RKN54" s="1165"/>
      <c r="RKO54" s="1165"/>
      <c r="RKP54" s="1165"/>
      <c r="RKQ54" s="1165"/>
      <c r="RKR54" s="1165"/>
      <c r="RKS54" s="1165"/>
      <c r="RKT54" s="1165"/>
      <c r="RKU54" s="1165"/>
      <c r="RKV54" s="1165"/>
      <c r="RKW54" s="1165"/>
      <c r="RKX54" s="1165"/>
      <c r="RKY54" s="1165"/>
      <c r="RKZ54" s="1165"/>
      <c r="RLA54" s="1165"/>
      <c r="RLB54" s="1165"/>
      <c r="RLC54" s="1165"/>
      <c r="RLD54" s="1165"/>
      <c r="RLE54" s="1165"/>
      <c r="RLF54" s="1165"/>
      <c r="RLG54" s="1165"/>
      <c r="RLH54" s="1165"/>
      <c r="RLI54" s="1165"/>
      <c r="RLJ54" s="1165"/>
      <c r="RLK54" s="1165"/>
      <c r="RLL54" s="1165"/>
      <c r="RLM54" s="1165"/>
      <c r="RLN54" s="1165"/>
      <c r="RLO54" s="1165"/>
      <c r="RLP54" s="1165"/>
      <c r="RLQ54" s="1165"/>
      <c r="RLR54" s="1165"/>
      <c r="RLS54" s="1165"/>
      <c r="RLT54" s="1165"/>
      <c r="RLU54" s="1165"/>
      <c r="RLV54" s="1165"/>
      <c r="RLW54" s="1165"/>
      <c r="RLX54" s="1165"/>
      <c r="RLY54" s="1165"/>
      <c r="RLZ54" s="1165"/>
      <c r="RMA54" s="1165"/>
      <c r="RMB54" s="1165"/>
      <c r="RMC54" s="1165"/>
      <c r="RMD54" s="1165"/>
      <c r="RME54" s="1165"/>
      <c r="RMF54" s="1165"/>
      <c r="RMG54" s="1165"/>
      <c r="RMH54" s="1165"/>
      <c r="RMI54" s="1165"/>
      <c r="RMJ54" s="1165"/>
      <c r="RMK54" s="1165"/>
      <c r="RML54" s="1165"/>
      <c r="RMM54" s="1165"/>
      <c r="RMN54" s="1165"/>
      <c r="RMO54" s="1165"/>
      <c r="RMP54" s="1165"/>
      <c r="RMQ54" s="1165"/>
      <c r="RMR54" s="1165"/>
      <c r="RMS54" s="1165"/>
      <c r="RMT54" s="1165"/>
      <c r="RMU54" s="1165"/>
      <c r="RMV54" s="1165"/>
      <c r="RMW54" s="1165"/>
      <c r="RMX54" s="1165"/>
      <c r="RMY54" s="1165"/>
      <c r="RMZ54" s="1165"/>
      <c r="RNA54" s="1165"/>
      <c r="RNB54" s="1165"/>
      <c r="RNC54" s="1165"/>
      <c r="RND54" s="1165"/>
      <c r="RNE54" s="1165"/>
      <c r="RNF54" s="1165"/>
      <c r="RNG54" s="1165"/>
      <c r="RNH54" s="1165"/>
      <c r="RNI54" s="1165"/>
      <c r="RNJ54" s="1165"/>
      <c r="RNK54" s="1165"/>
      <c r="RNL54" s="1165"/>
      <c r="RNM54" s="1165"/>
      <c r="RNN54" s="1165"/>
      <c r="RNO54" s="1165"/>
      <c r="RNP54" s="1165"/>
      <c r="RNQ54" s="1165"/>
      <c r="RNR54" s="1165"/>
      <c r="RNS54" s="1165"/>
      <c r="RNT54" s="1165"/>
      <c r="RNU54" s="1165"/>
      <c r="RNV54" s="1165"/>
      <c r="RNW54" s="1165"/>
      <c r="RNX54" s="1165"/>
      <c r="RNY54" s="1165"/>
      <c r="RNZ54" s="1165"/>
      <c r="ROA54" s="1165"/>
      <c r="ROB54" s="1165"/>
      <c r="ROC54" s="1165"/>
      <c r="ROD54" s="1165"/>
      <c r="ROE54" s="1165"/>
      <c r="ROF54" s="1165"/>
      <c r="ROG54" s="1165"/>
      <c r="ROH54" s="1165"/>
      <c r="ROI54" s="1165"/>
      <c r="ROJ54" s="1165"/>
      <c r="ROK54" s="1165"/>
      <c r="ROL54" s="1165"/>
      <c r="ROM54" s="1165"/>
      <c r="RON54" s="1165"/>
      <c r="ROO54" s="1165"/>
      <c r="ROP54" s="1165"/>
      <c r="ROQ54" s="1165"/>
      <c r="ROR54" s="1165"/>
      <c r="ROS54" s="1165"/>
      <c r="ROT54" s="1165"/>
      <c r="ROU54" s="1165"/>
      <c r="ROV54" s="1165"/>
      <c r="ROW54" s="1165"/>
      <c r="ROX54" s="1165"/>
      <c r="ROY54" s="1165"/>
      <c r="ROZ54" s="1165"/>
      <c r="RPA54" s="1165"/>
      <c r="RPB54" s="1165"/>
      <c r="RPC54" s="1165"/>
      <c r="RPD54" s="1165"/>
      <c r="RPE54" s="1165"/>
      <c r="RPF54" s="1165"/>
      <c r="RPG54" s="1165"/>
      <c r="RPH54" s="1165"/>
      <c r="RPI54" s="1165"/>
      <c r="RPJ54" s="1165"/>
      <c r="RPK54" s="1165"/>
      <c r="RPL54" s="1165"/>
      <c r="RPM54" s="1165"/>
      <c r="RPN54" s="1165"/>
      <c r="RPO54" s="1165"/>
      <c r="RPP54" s="1165"/>
      <c r="RPQ54" s="1165"/>
      <c r="RPR54" s="1165"/>
      <c r="RPS54" s="1165"/>
      <c r="RPT54" s="1165"/>
      <c r="RPU54" s="1165"/>
      <c r="RPV54" s="1165"/>
      <c r="RPW54" s="1165"/>
      <c r="RPX54" s="1165"/>
      <c r="RPY54" s="1165"/>
      <c r="RPZ54" s="1165"/>
      <c r="RQA54" s="1165"/>
      <c r="RQB54" s="1165"/>
      <c r="RQC54" s="1165"/>
      <c r="RQD54" s="1165"/>
      <c r="RQE54" s="1165"/>
      <c r="RQF54" s="1165"/>
      <c r="RQG54" s="1165"/>
      <c r="RQH54" s="1165"/>
      <c r="RQI54" s="1165"/>
      <c r="RQJ54" s="1165"/>
      <c r="RQK54" s="1165"/>
      <c r="RQL54" s="1165"/>
      <c r="RQM54" s="1165"/>
      <c r="RQN54" s="1165"/>
      <c r="RQO54" s="1165"/>
      <c r="RQP54" s="1165"/>
      <c r="RQQ54" s="1165"/>
      <c r="RQR54" s="1165"/>
      <c r="RQS54" s="1165"/>
      <c r="RQT54" s="1165"/>
      <c r="RQU54" s="1165"/>
      <c r="RQV54" s="1165"/>
      <c r="RQW54" s="1165"/>
      <c r="RQX54" s="1165"/>
      <c r="RQY54" s="1165"/>
      <c r="RQZ54" s="1165"/>
      <c r="RRA54" s="1165"/>
      <c r="RRB54" s="1165"/>
      <c r="RRC54" s="1165"/>
      <c r="RRD54" s="1165"/>
      <c r="RRE54" s="1165"/>
      <c r="RRF54" s="1165"/>
      <c r="RRG54" s="1165"/>
      <c r="RRH54" s="1165"/>
      <c r="RRI54" s="1165"/>
      <c r="RRJ54" s="1165"/>
      <c r="RRK54" s="1165"/>
      <c r="RRL54" s="1165"/>
      <c r="RRM54" s="1165"/>
      <c r="RRN54" s="1165"/>
      <c r="RRO54" s="1165"/>
      <c r="RRP54" s="1165"/>
      <c r="RRQ54" s="1165"/>
      <c r="RRR54" s="1165"/>
      <c r="RRS54" s="1165"/>
      <c r="RRT54" s="1165"/>
      <c r="RRU54" s="1165"/>
      <c r="RRV54" s="1165"/>
      <c r="RRW54" s="1165"/>
      <c r="RRX54" s="1165"/>
      <c r="RRY54" s="1165"/>
      <c r="RRZ54" s="1165"/>
      <c r="RSA54" s="1165"/>
      <c r="RSB54" s="1165"/>
      <c r="RSC54" s="1165"/>
      <c r="RSD54" s="1165"/>
      <c r="RSE54" s="1165"/>
      <c r="RSF54" s="1165"/>
      <c r="RSG54" s="1165"/>
      <c r="RSH54" s="1165"/>
      <c r="RSI54" s="1165"/>
      <c r="RSJ54" s="1165"/>
      <c r="RSK54" s="1165"/>
      <c r="RSL54" s="1165"/>
      <c r="RSM54" s="1165"/>
      <c r="RSN54" s="1165"/>
      <c r="RSO54" s="1165"/>
      <c r="RSP54" s="1165"/>
      <c r="RSQ54" s="1165"/>
      <c r="RSR54" s="1165"/>
      <c r="RSS54" s="1165"/>
      <c r="RST54" s="1165"/>
      <c r="RSU54" s="1165"/>
      <c r="RSV54" s="1165"/>
      <c r="RSW54" s="1165"/>
      <c r="RSX54" s="1165"/>
      <c r="RSY54" s="1165"/>
      <c r="RSZ54" s="1165"/>
      <c r="RTA54" s="1165"/>
      <c r="RTB54" s="1165"/>
      <c r="RTC54" s="1165"/>
      <c r="RTD54" s="1165"/>
      <c r="RTE54" s="1165"/>
      <c r="RTF54" s="1165"/>
      <c r="RTG54" s="1165"/>
      <c r="RTH54" s="1165"/>
      <c r="RTI54" s="1165"/>
      <c r="RTJ54" s="1165"/>
      <c r="RTK54" s="1165"/>
      <c r="RTL54" s="1165"/>
      <c r="RTM54" s="1165"/>
      <c r="RTN54" s="1165"/>
      <c r="RTO54" s="1165"/>
      <c r="RTP54" s="1165"/>
      <c r="RTQ54" s="1165"/>
      <c r="RTR54" s="1165"/>
      <c r="RTS54" s="1165"/>
      <c r="RTT54" s="1165"/>
      <c r="RTU54" s="1165"/>
      <c r="RTV54" s="1165"/>
      <c r="RTW54" s="1165"/>
      <c r="RTX54" s="1165"/>
      <c r="RTY54" s="1165"/>
      <c r="RTZ54" s="1165"/>
      <c r="RUA54" s="1165"/>
      <c r="RUB54" s="1165"/>
      <c r="RUC54" s="1165"/>
      <c r="RUD54" s="1165"/>
      <c r="RUE54" s="1165"/>
      <c r="RUF54" s="1165"/>
      <c r="RUG54" s="1165"/>
      <c r="RUH54" s="1165"/>
      <c r="RUI54" s="1165"/>
      <c r="RUJ54" s="1165"/>
      <c r="RUK54" s="1165"/>
      <c r="RUL54" s="1165"/>
      <c r="RUM54" s="1165"/>
      <c r="RUN54" s="1165"/>
      <c r="RUO54" s="1165"/>
      <c r="RUP54" s="1165"/>
      <c r="RUQ54" s="1165"/>
      <c r="RUR54" s="1165"/>
      <c r="RUS54" s="1165"/>
      <c r="RUT54" s="1165"/>
      <c r="RUU54" s="1165"/>
      <c r="RUV54" s="1165"/>
      <c r="RUW54" s="1165"/>
      <c r="RUX54" s="1165"/>
      <c r="RUY54" s="1165"/>
      <c r="RUZ54" s="1165"/>
      <c r="RVA54" s="1165"/>
      <c r="RVB54" s="1165"/>
      <c r="RVC54" s="1165"/>
      <c r="RVD54" s="1165"/>
      <c r="RVE54" s="1165"/>
      <c r="RVF54" s="1165"/>
      <c r="RVG54" s="1165"/>
      <c r="RVH54" s="1165"/>
      <c r="RVI54" s="1165"/>
      <c r="RVJ54" s="1165"/>
      <c r="RVK54" s="1165"/>
      <c r="RVL54" s="1165"/>
      <c r="RVM54" s="1165"/>
      <c r="RVN54" s="1165"/>
      <c r="RVO54" s="1165"/>
      <c r="RVP54" s="1165"/>
      <c r="RVQ54" s="1165"/>
      <c r="RVR54" s="1165"/>
      <c r="RVS54" s="1165"/>
      <c r="RVT54" s="1165"/>
      <c r="RVU54" s="1165"/>
      <c r="RVV54" s="1165"/>
      <c r="RVW54" s="1165"/>
      <c r="RVX54" s="1165"/>
      <c r="RVY54" s="1165"/>
      <c r="RVZ54" s="1165"/>
      <c r="RWA54" s="1165"/>
      <c r="RWB54" s="1165"/>
      <c r="RWC54" s="1165"/>
      <c r="RWD54" s="1165"/>
      <c r="RWE54" s="1165"/>
      <c r="RWF54" s="1165"/>
      <c r="RWG54" s="1165"/>
      <c r="RWH54" s="1165"/>
      <c r="RWI54" s="1165"/>
      <c r="RWJ54" s="1165"/>
      <c r="RWK54" s="1165"/>
      <c r="RWL54" s="1165"/>
      <c r="RWM54" s="1165"/>
      <c r="RWN54" s="1165"/>
      <c r="RWO54" s="1165"/>
      <c r="RWP54" s="1165"/>
      <c r="RWQ54" s="1165"/>
      <c r="RWR54" s="1165"/>
      <c r="RWS54" s="1165"/>
      <c r="RWT54" s="1165"/>
      <c r="RWU54" s="1165"/>
      <c r="RWV54" s="1165"/>
      <c r="RWW54" s="1165"/>
      <c r="RWX54" s="1165"/>
      <c r="RWY54" s="1165"/>
      <c r="RWZ54" s="1165"/>
      <c r="RXA54" s="1165"/>
      <c r="RXB54" s="1165"/>
      <c r="RXC54" s="1165"/>
      <c r="RXD54" s="1165"/>
      <c r="RXE54" s="1165"/>
      <c r="RXF54" s="1165"/>
      <c r="RXG54" s="1165"/>
      <c r="RXH54" s="1165"/>
      <c r="RXI54" s="1165"/>
      <c r="RXJ54" s="1165"/>
      <c r="RXK54" s="1165"/>
      <c r="RXL54" s="1165"/>
      <c r="RXM54" s="1165"/>
      <c r="RXN54" s="1165"/>
      <c r="RXO54" s="1165"/>
      <c r="RXP54" s="1165"/>
      <c r="RXQ54" s="1165"/>
      <c r="RXR54" s="1165"/>
      <c r="RXS54" s="1165"/>
      <c r="RXT54" s="1165"/>
      <c r="RXU54" s="1165"/>
      <c r="RXV54" s="1165"/>
      <c r="RXW54" s="1165"/>
      <c r="RXX54" s="1165"/>
      <c r="RXY54" s="1165"/>
      <c r="RXZ54" s="1165"/>
      <c r="RYA54" s="1165"/>
      <c r="RYB54" s="1165"/>
      <c r="RYC54" s="1165"/>
      <c r="RYD54" s="1165"/>
      <c r="RYE54" s="1165"/>
      <c r="RYF54" s="1165"/>
      <c r="RYG54" s="1165"/>
      <c r="RYH54" s="1165"/>
      <c r="RYI54" s="1165"/>
      <c r="RYJ54" s="1165"/>
      <c r="RYK54" s="1165"/>
      <c r="RYL54" s="1165"/>
      <c r="RYM54" s="1165"/>
      <c r="RYN54" s="1165"/>
      <c r="RYO54" s="1165"/>
      <c r="RYP54" s="1165"/>
      <c r="RYQ54" s="1165"/>
      <c r="RYR54" s="1165"/>
      <c r="RYS54" s="1165"/>
      <c r="RYT54" s="1165"/>
      <c r="RYU54" s="1165"/>
      <c r="RYV54" s="1165"/>
      <c r="RYW54" s="1165"/>
      <c r="RYX54" s="1165"/>
      <c r="RYY54" s="1165"/>
      <c r="RYZ54" s="1165"/>
      <c r="RZA54" s="1165"/>
      <c r="RZB54" s="1165"/>
      <c r="RZC54" s="1165"/>
      <c r="RZD54" s="1165"/>
      <c r="RZE54" s="1165"/>
      <c r="RZF54" s="1165"/>
      <c r="RZG54" s="1165"/>
      <c r="RZH54" s="1165"/>
      <c r="RZI54" s="1165"/>
      <c r="RZJ54" s="1165"/>
      <c r="RZK54" s="1165"/>
      <c r="RZL54" s="1165"/>
      <c r="RZM54" s="1165"/>
      <c r="RZN54" s="1165"/>
      <c r="RZO54" s="1165"/>
      <c r="RZP54" s="1165"/>
      <c r="RZQ54" s="1165"/>
      <c r="RZR54" s="1165"/>
      <c r="RZS54" s="1165"/>
      <c r="RZT54" s="1165"/>
      <c r="RZU54" s="1165"/>
      <c r="RZV54" s="1165"/>
      <c r="RZW54" s="1165"/>
      <c r="RZX54" s="1165"/>
      <c r="RZY54" s="1165"/>
      <c r="RZZ54" s="1165"/>
      <c r="SAA54" s="1165"/>
      <c r="SAB54" s="1165"/>
      <c r="SAC54" s="1165"/>
      <c r="SAD54" s="1165"/>
      <c r="SAE54" s="1165"/>
      <c r="SAF54" s="1165"/>
      <c r="SAG54" s="1165"/>
      <c r="SAH54" s="1165"/>
      <c r="SAI54" s="1165"/>
      <c r="SAJ54" s="1165"/>
      <c r="SAK54" s="1165"/>
      <c r="SAL54" s="1165"/>
      <c r="SAM54" s="1165"/>
      <c r="SAN54" s="1165"/>
      <c r="SAO54" s="1165"/>
      <c r="SAP54" s="1165"/>
      <c r="SAQ54" s="1165"/>
      <c r="SAR54" s="1165"/>
      <c r="SAS54" s="1165"/>
      <c r="SAT54" s="1165"/>
      <c r="SAU54" s="1165"/>
      <c r="SAV54" s="1165"/>
      <c r="SAW54" s="1165"/>
      <c r="SAX54" s="1165"/>
      <c r="SAY54" s="1165"/>
      <c r="SAZ54" s="1165"/>
      <c r="SBA54" s="1165"/>
      <c r="SBB54" s="1165"/>
      <c r="SBC54" s="1165"/>
      <c r="SBD54" s="1165"/>
      <c r="SBE54" s="1165"/>
      <c r="SBF54" s="1165"/>
      <c r="SBG54" s="1165"/>
      <c r="SBH54" s="1165"/>
      <c r="SBI54" s="1165"/>
      <c r="SBJ54" s="1165"/>
      <c r="SBK54" s="1165"/>
      <c r="SBL54" s="1165"/>
      <c r="SBM54" s="1165"/>
      <c r="SBN54" s="1165"/>
      <c r="SBO54" s="1165"/>
      <c r="SBP54" s="1165"/>
      <c r="SBQ54" s="1165"/>
      <c r="SBR54" s="1165"/>
      <c r="SBS54" s="1165"/>
      <c r="SBT54" s="1165"/>
      <c r="SBU54" s="1165"/>
      <c r="SBV54" s="1165"/>
      <c r="SBW54" s="1165"/>
      <c r="SBX54" s="1165"/>
      <c r="SBY54" s="1165"/>
      <c r="SBZ54" s="1165"/>
      <c r="SCA54" s="1165"/>
      <c r="SCB54" s="1165"/>
      <c r="SCC54" s="1165"/>
      <c r="SCD54" s="1165"/>
      <c r="SCE54" s="1165"/>
      <c r="SCF54" s="1165"/>
      <c r="SCG54" s="1165"/>
      <c r="SCH54" s="1165"/>
      <c r="SCI54" s="1165"/>
      <c r="SCJ54" s="1165"/>
      <c r="SCK54" s="1165"/>
      <c r="SCL54" s="1165"/>
      <c r="SCM54" s="1165"/>
      <c r="SCN54" s="1165"/>
      <c r="SCO54" s="1165"/>
      <c r="SCP54" s="1165"/>
      <c r="SCQ54" s="1165"/>
      <c r="SCR54" s="1165"/>
      <c r="SCS54" s="1165"/>
      <c r="SCT54" s="1165"/>
      <c r="SCU54" s="1165"/>
      <c r="SCV54" s="1165"/>
      <c r="SCW54" s="1165"/>
      <c r="SCX54" s="1165"/>
      <c r="SCY54" s="1165"/>
      <c r="SCZ54" s="1165"/>
      <c r="SDA54" s="1165"/>
      <c r="SDB54" s="1165"/>
      <c r="SDC54" s="1165"/>
      <c r="SDD54" s="1165"/>
      <c r="SDE54" s="1165"/>
      <c r="SDF54" s="1165"/>
      <c r="SDG54" s="1165"/>
      <c r="SDH54" s="1165"/>
      <c r="SDI54" s="1165"/>
      <c r="SDJ54" s="1165"/>
      <c r="SDK54" s="1165"/>
      <c r="SDL54" s="1165"/>
      <c r="SDM54" s="1165"/>
      <c r="SDN54" s="1165"/>
      <c r="SDO54" s="1165"/>
      <c r="SDP54" s="1165"/>
      <c r="SDQ54" s="1165"/>
      <c r="SDR54" s="1165"/>
      <c r="SDS54" s="1165"/>
      <c r="SDT54" s="1165"/>
      <c r="SDU54" s="1165"/>
      <c r="SDV54" s="1165"/>
      <c r="SDW54" s="1165"/>
      <c r="SDX54" s="1165"/>
      <c r="SDY54" s="1165"/>
      <c r="SDZ54" s="1165"/>
      <c r="SEA54" s="1165"/>
      <c r="SEB54" s="1165"/>
      <c r="SEC54" s="1165"/>
      <c r="SED54" s="1165"/>
      <c r="SEE54" s="1165"/>
      <c r="SEF54" s="1165"/>
      <c r="SEG54" s="1165"/>
      <c r="SEH54" s="1165"/>
      <c r="SEI54" s="1165"/>
      <c r="SEJ54" s="1165"/>
      <c r="SEK54" s="1165"/>
      <c r="SEL54" s="1165"/>
      <c r="SEM54" s="1165"/>
      <c r="SEN54" s="1165"/>
      <c r="SEO54" s="1165"/>
      <c r="SEP54" s="1165"/>
      <c r="SEQ54" s="1165"/>
      <c r="SER54" s="1165"/>
      <c r="SES54" s="1165"/>
      <c r="SET54" s="1165"/>
      <c r="SEU54" s="1165"/>
      <c r="SEV54" s="1165"/>
      <c r="SEW54" s="1165"/>
      <c r="SEX54" s="1165"/>
      <c r="SEY54" s="1165"/>
      <c r="SEZ54" s="1165"/>
      <c r="SFA54" s="1165"/>
      <c r="SFB54" s="1165"/>
      <c r="SFC54" s="1165"/>
      <c r="SFD54" s="1165"/>
      <c r="SFE54" s="1165"/>
      <c r="SFF54" s="1165"/>
      <c r="SFG54" s="1165"/>
      <c r="SFH54" s="1165"/>
      <c r="SFI54" s="1165"/>
      <c r="SFJ54" s="1165"/>
      <c r="SFK54" s="1165"/>
      <c r="SFL54" s="1165"/>
      <c r="SFM54" s="1165"/>
      <c r="SFN54" s="1165"/>
      <c r="SFO54" s="1165"/>
      <c r="SFP54" s="1165"/>
      <c r="SFQ54" s="1165"/>
      <c r="SFR54" s="1165"/>
      <c r="SFS54" s="1165"/>
      <c r="SFT54" s="1165"/>
      <c r="SFU54" s="1165"/>
      <c r="SFV54" s="1165"/>
      <c r="SFW54" s="1165"/>
      <c r="SFX54" s="1165"/>
      <c r="SFY54" s="1165"/>
      <c r="SFZ54" s="1165"/>
      <c r="SGA54" s="1165"/>
      <c r="SGB54" s="1165"/>
      <c r="SGC54" s="1165"/>
      <c r="SGD54" s="1165"/>
      <c r="SGE54" s="1165"/>
      <c r="SGF54" s="1165"/>
      <c r="SGG54" s="1165"/>
      <c r="SGH54" s="1165"/>
      <c r="SGI54" s="1165"/>
      <c r="SGJ54" s="1165"/>
      <c r="SGK54" s="1165"/>
      <c r="SGL54" s="1165"/>
      <c r="SGM54" s="1165"/>
      <c r="SGN54" s="1165"/>
      <c r="SGO54" s="1165"/>
      <c r="SGP54" s="1165"/>
      <c r="SGQ54" s="1165"/>
      <c r="SGR54" s="1165"/>
      <c r="SGS54" s="1165"/>
      <c r="SGT54" s="1165"/>
      <c r="SGU54" s="1165"/>
      <c r="SGV54" s="1165"/>
      <c r="SGW54" s="1165"/>
      <c r="SGX54" s="1165"/>
      <c r="SGY54" s="1165"/>
      <c r="SGZ54" s="1165"/>
      <c r="SHA54" s="1165"/>
      <c r="SHB54" s="1165"/>
      <c r="SHC54" s="1165"/>
      <c r="SHD54" s="1165"/>
      <c r="SHE54" s="1165"/>
      <c r="SHF54" s="1165"/>
      <c r="SHG54" s="1165"/>
      <c r="SHH54" s="1165"/>
      <c r="SHI54" s="1165"/>
      <c r="SHJ54" s="1165"/>
      <c r="SHK54" s="1165"/>
      <c r="SHL54" s="1165"/>
      <c r="SHM54" s="1165"/>
      <c r="SHN54" s="1165"/>
      <c r="SHO54" s="1165"/>
      <c r="SHP54" s="1165"/>
      <c r="SHQ54" s="1165"/>
      <c r="SHR54" s="1165"/>
      <c r="SHS54" s="1165"/>
      <c r="SHT54" s="1165"/>
      <c r="SHU54" s="1165"/>
      <c r="SHV54" s="1165"/>
      <c r="SHW54" s="1165"/>
      <c r="SHX54" s="1165"/>
      <c r="SHY54" s="1165"/>
      <c r="SHZ54" s="1165"/>
      <c r="SIA54" s="1165"/>
      <c r="SIB54" s="1165"/>
      <c r="SIC54" s="1165"/>
      <c r="SID54" s="1165"/>
      <c r="SIE54" s="1165"/>
      <c r="SIF54" s="1165"/>
      <c r="SIG54" s="1165"/>
      <c r="SIH54" s="1165"/>
      <c r="SII54" s="1165"/>
      <c r="SIJ54" s="1165"/>
      <c r="SIK54" s="1165"/>
      <c r="SIL54" s="1165"/>
      <c r="SIM54" s="1165"/>
      <c r="SIN54" s="1165"/>
      <c r="SIO54" s="1165"/>
      <c r="SIP54" s="1165"/>
      <c r="SIQ54" s="1165"/>
      <c r="SIR54" s="1165"/>
      <c r="SIS54" s="1165"/>
      <c r="SIT54" s="1165"/>
      <c r="SIU54" s="1165"/>
      <c r="SIV54" s="1165"/>
      <c r="SIW54" s="1165"/>
      <c r="SIX54" s="1165"/>
      <c r="SIY54" s="1165"/>
      <c r="SIZ54" s="1165"/>
      <c r="SJA54" s="1165"/>
      <c r="SJB54" s="1165"/>
      <c r="SJC54" s="1165"/>
      <c r="SJD54" s="1165"/>
      <c r="SJE54" s="1165"/>
      <c r="SJF54" s="1165"/>
      <c r="SJG54" s="1165"/>
      <c r="SJH54" s="1165"/>
      <c r="SJI54" s="1165"/>
      <c r="SJJ54" s="1165"/>
      <c r="SJK54" s="1165"/>
      <c r="SJL54" s="1165"/>
      <c r="SJM54" s="1165"/>
      <c r="SJN54" s="1165"/>
      <c r="SJO54" s="1165"/>
      <c r="SJP54" s="1165"/>
      <c r="SJQ54" s="1165"/>
      <c r="SJR54" s="1165"/>
      <c r="SJS54" s="1165"/>
      <c r="SJT54" s="1165"/>
      <c r="SJU54" s="1165"/>
      <c r="SJV54" s="1165"/>
      <c r="SJW54" s="1165"/>
      <c r="SJX54" s="1165"/>
      <c r="SJY54" s="1165"/>
      <c r="SJZ54" s="1165"/>
      <c r="SKA54" s="1165"/>
      <c r="SKB54" s="1165"/>
      <c r="SKC54" s="1165"/>
      <c r="SKD54" s="1165"/>
      <c r="SKE54" s="1165"/>
      <c r="SKF54" s="1165"/>
      <c r="SKG54" s="1165"/>
      <c r="SKH54" s="1165"/>
      <c r="SKI54" s="1165"/>
      <c r="SKJ54" s="1165"/>
      <c r="SKK54" s="1165"/>
      <c r="SKL54" s="1165"/>
      <c r="SKM54" s="1165"/>
      <c r="SKN54" s="1165"/>
      <c r="SKO54" s="1165"/>
      <c r="SKP54" s="1165"/>
      <c r="SKQ54" s="1165"/>
      <c r="SKR54" s="1165"/>
      <c r="SKS54" s="1165"/>
      <c r="SKT54" s="1165"/>
      <c r="SKU54" s="1165"/>
      <c r="SKV54" s="1165"/>
      <c r="SKW54" s="1165"/>
      <c r="SKX54" s="1165"/>
      <c r="SKY54" s="1165"/>
      <c r="SKZ54" s="1165"/>
      <c r="SLA54" s="1165"/>
      <c r="SLB54" s="1165"/>
      <c r="SLC54" s="1165"/>
      <c r="SLD54" s="1165"/>
      <c r="SLE54" s="1165"/>
      <c r="SLF54" s="1165"/>
      <c r="SLG54" s="1165"/>
      <c r="SLH54" s="1165"/>
      <c r="SLI54" s="1165"/>
      <c r="SLJ54" s="1165"/>
      <c r="SLK54" s="1165"/>
      <c r="SLL54" s="1165"/>
      <c r="SLM54" s="1165"/>
      <c r="SLN54" s="1165"/>
      <c r="SLO54" s="1165"/>
      <c r="SLP54" s="1165"/>
      <c r="SLQ54" s="1165"/>
      <c r="SLR54" s="1165"/>
      <c r="SLS54" s="1165"/>
      <c r="SLT54" s="1165"/>
      <c r="SLU54" s="1165"/>
      <c r="SLV54" s="1165"/>
      <c r="SLW54" s="1165"/>
      <c r="SLX54" s="1165"/>
      <c r="SLY54" s="1165"/>
      <c r="SLZ54" s="1165"/>
      <c r="SMA54" s="1165"/>
      <c r="SMB54" s="1165"/>
      <c r="SMC54" s="1165"/>
      <c r="SMD54" s="1165"/>
      <c r="SME54" s="1165"/>
      <c r="SMF54" s="1165"/>
      <c r="SMG54" s="1165"/>
      <c r="SMH54" s="1165"/>
      <c r="SMI54" s="1165"/>
      <c r="SMJ54" s="1165"/>
      <c r="SMK54" s="1165"/>
      <c r="SML54" s="1165"/>
      <c r="SMM54" s="1165"/>
      <c r="SMN54" s="1165"/>
      <c r="SMO54" s="1165"/>
      <c r="SMP54" s="1165"/>
      <c r="SMQ54" s="1165"/>
      <c r="SMR54" s="1165"/>
      <c r="SMS54" s="1165"/>
      <c r="SMT54" s="1165"/>
      <c r="SMU54" s="1165"/>
      <c r="SMV54" s="1165"/>
      <c r="SMW54" s="1165"/>
      <c r="SMX54" s="1165"/>
      <c r="SMY54" s="1165"/>
      <c r="SMZ54" s="1165"/>
      <c r="SNA54" s="1165"/>
      <c r="SNB54" s="1165"/>
      <c r="SNC54" s="1165"/>
      <c r="SND54" s="1165"/>
      <c r="SNE54" s="1165"/>
      <c r="SNF54" s="1165"/>
      <c r="SNG54" s="1165"/>
      <c r="SNH54" s="1165"/>
      <c r="SNI54" s="1165"/>
      <c r="SNJ54" s="1165"/>
      <c r="SNK54" s="1165"/>
      <c r="SNL54" s="1165"/>
      <c r="SNM54" s="1165"/>
      <c r="SNN54" s="1165"/>
      <c r="SNO54" s="1165"/>
      <c r="SNP54" s="1165"/>
      <c r="SNQ54" s="1165"/>
      <c r="SNR54" s="1165"/>
      <c r="SNS54" s="1165"/>
      <c r="SNT54" s="1165"/>
      <c r="SNU54" s="1165"/>
      <c r="SNV54" s="1165"/>
      <c r="SNW54" s="1165"/>
      <c r="SNX54" s="1165"/>
      <c r="SNY54" s="1165"/>
      <c r="SNZ54" s="1165"/>
      <c r="SOA54" s="1165"/>
      <c r="SOB54" s="1165"/>
      <c r="SOC54" s="1165"/>
      <c r="SOD54" s="1165"/>
      <c r="SOE54" s="1165"/>
      <c r="SOF54" s="1165"/>
      <c r="SOG54" s="1165"/>
      <c r="SOH54" s="1165"/>
      <c r="SOI54" s="1165"/>
      <c r="SOJ54" s="1165"/>
      <c r="SOK54" s="1165"/>
      <c r="SOL54" s="1165"/>
      <c r="SOM54" s="1165"/>
      <c r="SON54" s="1165"/>
      <c r="SOO54" s="1165"/>
      <c r="SOP54" s="1165"/>
      <c r="SOQ54" s="1165"/>
      <c r="SOR54" s="1165"/>
      <c r="SOS54" s="1165"/>
      <c r="SOT54" s="1165"/>
      <c r="SOU54" s="1165"/>
      <c r="SOV54" s="1165"/>
      <c r="SOW54" s="1165"/>
      <c r="SOX54" s="1165"/>
      <c r="SOY54" s="1165"/>
      <c r="SOZ54" s="1165"/>
      <c r="SPA54" s="1165"/>
      <c r="SPB54" s="1165"/>
      <c r="SPC54" s="1165"/>
      <c r="SPD54" s="1165"/>
      <c r="SPE54" s="1165"/>
      <c r="SPF54" s="1165"/>
      <c r="SPG54" s="1165"/>
      <c r="SPH54" s="1165"/>
      <c r="SPI54" s="1165"/>
      <c r="SPJ54" s="1165"/>
      <c r="SPK54" s="1165"/>
      <c r="SPL54" s="1165"/>
      <c r="SPM54" s="1165"/>
      <c r="SPN54" s="1165"/>
      <c r="SPO54" s="1165"/>
      <c r="SPP54" s="1165"/>
      <c r="SPQ54" s="1165"/>
      <c r="SPR54" s="1165"/>
      <c r="SPS54" s="1165"/>
      <c r="SPT54" s="1165"/>
      <c r="SPU54" s="1165"/>
      <c r="SPV54" s="1165"/>
      <c r="SPW54" s="1165"/>
      <c r="SPX54" s="1165"/>
      <c r="SPY54" s="1165"/>
      <c r="SPZ54" s="1165"/>
      <c r="SQA54" s="1165"/>
      <c r="SQB54" s="1165"/>
      <c r="SQC54" s="1165"/>
      <c r="SQD54" s="1165"/>
      <c r="SQE54" s="1165"/>
      <c r="SQF54" s="1165"/>
      <c r="SQG54" s="1165"/>
      <c r="SQH54" s="1165"/>
      <c r="SQI54" s="1165"/>
      <c r="SQJ54" s="1165"/>
      <c r="SQK54" s="1165"/>
      <c r="SQL54" s="1165"/>
      <c r="SQM54" s="1165"/>
      <c r="SQN54" s="1165"/>
      <c r="SQO54" s="1165"/>
      <c r="SQP54" s="1165"/>
      <c r="SQQ54" s="1165"/>
      <c r="SQR54" s="1165"/>
      <c r="SQS54" s="1165"/>
      <c r="SQT54" s="1165"/>
      <c r="SQU54" s="1165"/>
      <c r="SQV54" s="1165"/>
      <c r="SQW54" s="1165"/>
      <c r="SQX54" s="1165"/>
      <c r="SQY54" s="1165"/>
      <c r="SQZ54" s="1165"/>
      <c r="SRA54" s="1165"/>
      <c r="SRB54" s="1165"/>
      <c r="SRC54" s="1165"/>
      <c r="SRD54" s="1165"/>
      <c r="SRE54" s="1165"/>
      <c r="SRF54" s="1165"/>
      <c r="SRG54" s="1165"/>
      <c r="SRH54" s="1165"/>
      <c r="SRI54" s="1165"/>
      <c r="SRJ54" s="1165"/>
      <c r="SRK54" s="1165"/>
      <c r="SRL54" s="1165"/>
      <c r="SRM54" s="1165"/>
      <c r="SRN54" s="1165"/>
      <c r="SRO54" s="1165"/>
      <c r="SRP54" s="1165"/>
      <c r="SRQ54" s="1165"/>
      <c r="SRR54" s="1165"/>
      <c r="SRS54" s="1165"/>
      <c r="SRT54" s="1165"/>
      <c r="SRU54" s="1165"/>
      <c r="SRV54" s="1165"/>
      <c r="SRW54" s="1165"/>
      <c r="SRX54" s="1165"/>
      <c r="SRY54" s="1165"/>
      <c r="SRZ54" s="1165"/>
      <c r="SSA54" s="1165"/>
      <c r="SSB54" s="1165"/>
      <c r="SSC54" s="1165"/>
      <c r="SSD54" s="1165"/>
      <c r="SSE54" s="1165"/>
      <c r="SSF54" s="1165"/>
      <c r="SSG54" s="1165"/>
      <c r="SSH54" s="1165"/>
      <c r="SSI54" s="1165"/>
      <c r="SSJ54" s="1165"/>
      <c r="SSK54" s="1165"/>
      <c r="SSL54" s="1165"/>
      <c r="SSM54" s="1165"/>
      <c r="SSN54" s="1165"/>
      <c r="SSO54" s="1165"/>
      <c r="SSP54" s="1165"/>
      <c r="SSQ54" s="1165"/>
      <c r="SSR54" s="1165"/>
      <c r="SSS54" s="1165"/>
      <c r="SST54" s="1165"/>
      <c r="SSU54" s="1165"/>
      <c r="SSV54" s="1165"/>
      <c r="SSW54" s="1165"/>
      <c r="SSX54" s="1165"/>
      <c r="SSY54" s="1165"/>
      <c r="SSZ54" s="1165"/>
      <c r="STA54" s="1165"/>
      <c r="STB54" s="1165"/>
      <c r="STC54" s="1165"/>
      <c r="STD54" s="1165"/>
      <c r="STE54" s="1165"/>
      <c r="STF54" s="1165"/>
      <c r="STG54" s="1165"/>
      <c r="STH54" s="1165"/>
      <c r="STI54" s="1165"/>
      <c r="STJ54" s="1165"/>
      <c r="STK54" s="1165"/>
      <c r="STL54" s="1165"/>
      <c r="STM54" s="1165"/>
      <c r="STN54" s="1165"/>
      <c r="STO54" s="1165"/>
      <c r="STP54" s="1165"/>
      <c r="STQ54" s="1165"/>
      <c r="STR54" s="1165"/>
      <c r="STS54" s="1165"/>
      <c r="STT54" s="1165"/>
      <c r="STU54" s="1165"/>
      <c r="STV54" s="1165"/>
      <c r="STW54" s="1165"/>
      <c r="STX54" s="1165"/>
      <c r="STY54" s="1165"/>
      <c r="STZ54" s="1165"/>
      <c r="SUA54" s="1165"/>
      <c r="SUB54" s="1165"/>
      <c r="SUC54" s="1165"/>
      <c r="SUD54" s="1165"/>
      <c r="SUE54" s="1165"/>
      <c r="SUF54" s="1165"/>
      <c r="SUG54" s="1165"/>
      <c r="SUH54" s="1165"/>
      <c r="SUI54" s="1165"/>
      <c r="SUJ54" s="1165"/>
      <c r="SUK54" s="1165"/>
      <c r="SUL54" s="1165"/>
      <c r="SUM54" s="1165"/>
      <c r="SUN54" s="1165"/>
      <c r="SUO54" s="1165"/>
      <c r="SUP54" s="1165"/>
      <c r="SUQ54" s="1165"/>
      <c r="SUR54" s="1165"/>
      <c r="SUS54" s="1165"/>
      <c r="SUT54" s="1165"/>
      <c r="SUU54" s="1165"/>
      <c r="SUV54" s="1165"/>
      <c r="SUW54" s="1165"/>
      <c r="SUX54" s="1165"/>
      <c r="SUY54" s="1165"/>
      <c r="SUZ54" s="1165"/>
      <c r="SVA54" s="1165"/>
      <c r="SVB54" s="1165"/>
      <c r="SVC54" s="1165"/>
      <c r="SVD54" s="1165"/>
      <c r="SVE54" s="1165"/>
      <c r="SVF54" s="1165"/>
      <c r="SVG54" s="1165"/>
      <c r="SVH54" s="1165"/>
      <c r="SVI54" s="1165"/>
      <c r="SVJ54" s="1165"/>
      <c r="SVK54" s="1165"/>
      <c r="SVL54" s="1165"/>
      <c r="SVM54" s="1165"/>
      <c r="SVN54" s="1165"/>
      <c r="SVO54" s="1165"/>
      <c r="SVP54" s="1165"/>
      <c r="SVQ54" s="1165"/>
      <c r="SVR54" s="1165"/>
      <c r="SVS54" s="1165"/>
      <c r="SVT54" s="1165"/>
      <c r="SVU54" s="1165"/>
      <c r="SVV54" s="1165"/>
      <c r="SVW54" s="1165"/>
      <c r="SVX54" s="1165"/>
      <c r="SVY54" s="1165"/>
      <c r="SVZ54" s="1165"/>
      <c r="SWA54" s="1165"/>
      <c r="SWB54" s="1165"/>
      <c r="SWC54" s="1165"/>
      <c r="SWD54" s="1165"/>
      <c r="SWE54" s="1165"/>
      <c r="SWF54" s="1165"/>
      <c r="SWG54" s="1165"/>
      <c r="SWH54" s="1165"/>
      <c r="SWI54" s="1165"/>
      <c r="SWJ54" s="1165"/>
      <c r="SWK54" s="1165"/>
      <c r="SWL54" s="1165"/>
      <c r="SWM54" s="1165"/>
      <c r="SWN54" s="1165"/>
      <c r="SWO54" s="1165"/>
      <c r="SWP54" s="1165"/>
      <c r="SWQ54" s="1165"/>
      <c r="SWR54" s="1165"/>
      <c r="SWS54" s="1165"/>
      <c r="SWT54" s="1165"/>
      <c r="SWU54" s="1165"/>
      <c r="SWV54" s="1165"/>
      <c r="SWW54" s="1165"/>
      <c r="SWX54" s="1165"/>
      <c r="SWY54" s="1165"/>
      <c r="SWZ54" s="1165"/>
      <c r="SXA54" s="1165"/>
      <c r="SXB54" s="1165"/>
      <c r="SXC54" s="1165"/>
      <c r="SXD54" s="1165"/>
      <c r="SXE54" s="1165"/>
      <c r="SXF54" s="1165"/>
      <c r="SXG54" s="1165"/>
      <c r="SXH54" s="1165"/>
      <c r="SXI54" s="1165"/>
      <c r="SXJ54" s="1165"/>
      <c r="SXK54" s="1165"/>
      <c r="SXL54" s="1165"/>
      <c r="SXM54" s="1165"/>
      <c r="SXN54" s="1165"/>
      <c r="SXO54" s="1165"/>
      <c r="SXP54" s="1165"/>
      <c r="SXQ54" s="1165"/>
      <c r="SXR54" s="1165"/>
      <c r="SXS54" s="1165"/>
      <c r="SXT54" s="1165"/>
      <c r="SXU54" s="1165"/>
      <c r="SXV54" s="1165"/>
      <c r="SXW54" s="1165"/>
      <c r="SXX54" s="1165"/>
      <c r="SXY54" s="1165"/>
      <c r="SXZ54" s="1165"/>
      <c r="SYA54" s="1165"/>
      <c r="SYB54" s="1165"/>
      <c r="SYC54" s="1165"/>
      <c r="SYD54" s="1165"/>
      <c r="SYE54" s="1165"/>
      <c r="SYF54" s="1165"/>
      <c r="SYG54" s="1165"/>
      <c r="SYH54" s="1165"/>
      <c r="SYI54" s="1165"/>
      <c r="SYJ54" s="1165"/>
      <c r="SYK54" s="1165"/>
      <c r="SYL54" s="1165"/>
      <c r="SYM54" s="1165"/>
      <c r="SYN54" s="1165"/>
      <c r="SYO54" s="1165"/>
      <c r="SYP54" s="1165"/>
      <c r="SYQ54" s="1165"/>
      <c r="SYR54" s="1165"/>
      <c r="SYS54" s="1165"/>
      <c r="SYT54" s="1165"/>
      <c r="SYU54" s="1165"/>
      <c r="SYV54" s="1165"/>
      <c r="SYW54" s="1165"/>
      <c r="SYX54" s="1165"/>
      <c r="SYY54" s="1165"/>
      <c r="SYZ54" s="1165"/>
      <c r="SZA54" s="1165"/>
      <c r="SZB54" s="1165"/>
      <c r="SZC54" s="1165"/>
      <c r="SZD54" s="1165"/>
      <c r="SZE54" s="1165"/>
      <c r="SZF54" s="1165"/>
      <c r="SZG54" s="1165"/>
      <c r="SZH54" s="1165"/>
      <c r="SZI54" s="1165"/>
      <c r="SZJ54" s="1165"/>
      <c r="SZK54" s="1165"/>
      <c r="SZL54" s="1165"/>
      <c r="SZM54" s="1165"/>
      <c r="SZN54" s="1165"/>
      <c r="SZO54" s="1165"/>
      <c r="SZP54" s="1165"/>
      <c r="SZQ54" s="1165"/>
      <c r="SZR54" s="1165"/>
      <c r="SZS54" s="1165"/>
      <c r="SZT54" s="1165"/>
      <c r="SZU54" s="1165"/>
      <c r="SZV54" s="1165"/>
      <c r="SZW54" s="1165"/>
      <c r="SZX54" s="1165"/>
      <c r="SZY54" s="1165"/>
      <c r="SZZ54" s="1165"/>
      <c r="TAA54" s="1165"/>
      <c r="TAB54" s="1165"/>
      <c r="TAC54" s="1165"/>
      <c r="TAD54" s="1165"/>
      <c r="TAE54" s="1165"/>
      <c r="TAF54" s="1165"/>
      <c r="TAG54" s="1165"/>
      <c r="TAH54" s="1165"/>
      <c r="TAI54" s="1165"/>
      <c r="TAJ54" s="1165"/>
      <c r="TAK54" s="1165"/>
      <c r="TAL54" s="1165"/>
      <c r="TAM54" s="1165"/>
      <c r="TAN54" s="1165"/>
      <c r="TAO54" s="1165"/>
      <c r="TAP54" s="1165"/>
      <c r="TAQ54" s="1165"/>
      <c r="TAR54" s="1165"/>
      <c r="TAS54" s="1165"/>
      <c r="TAT54" s="1165"/>
      <c r="TAU54" s="1165"/>
      <c r="TAV54" s="1165"/>
      <c r="TAW54" s="1165"/>
      <c r="TAX54" s="1165"/>
      <c r="TAY54" s="1165"/>
      <c r="TAZ54" s="1165"/>
      <c r="TBA54" s="1165"/>
      <c r="TBB54" s="1165"/>
      <c r="TBC54" s="1165"/>
      <c r="TBD54" s="1165"/>
      <c r="TBE54" s="1165"/>
      <c r="TBF54" s="1165"/>
      <c r="TBG54" s="1165"/>
      <c r="TBH54" s="1165"/>
      <c r="TBI54" s="1165"/>
      <c r="TBJ54" s="1165"/>
      <c r="TBK54" s="1165"/>
      <c r="TBL54" s="1165"/>
      <c r="TBM54" s="1165"/>
      <c r="TBN54" s="1165"/>
      <c r="TBO54" s="1165"/>
      <c r="TBP54" s="1165"/>
      <c r="TBQ54" s="1165"/>
      <c r="TBR54" s="1165"/>
      <c r="TBS54" s="1165"/>
      <c r="TBT54" s="1165"/>
      <c r="TBU54" s="1165"/>
      <c r="TBV54" s="1165"/>
      <c r="TBW54" s="1165"/>
      <c r="TBX54" s="1165"/>
      <c r="TBY54" s="1165"/>
      <c r="TBZ54" s="1165"/>
      <c r="TCA54" s="1165"/>
      <c r="TCB54" s="1165"/>
      <c r="TCC54" s="1165"/>
      <c r="TCD54" s="1165"/>
      <c r="TCE54" s="1165"/>
      <c r="TCF54" s="1165"/>
      <c r="TCG54" s="1165"/>
      <c r="TCH54" s="1165"/>
      <c r="TCI54" s="1165"/>
      <c r="TCJ54" s="1165"/>
      <c r="TCK54" s="1165"/>
      <c r="TCL54" s="1165"/>
      <c r="TCM54" s="1165"/>
      <c r="TCN54" s="1165"/>
      <c r="TCO54" s="1165"/>
      <c r="TCP54" s="1165"/>
      <c r="TCQ54" s="1165"/>
      <c r="TCR54" s="1165"/>
      <c r="TCS54" s="1165"/>
      <c r="TCT54" s="1165"/>
      <c r="TCU54" s="1165"/>
      <c r="TCV54" s="1165"/>
      <c r="TCW54" s="1165"/>
      <c r="TCX54" s="1165"/>
      <c r="TCY54" s="1165"/>
      <c r="TCZ54" s="1165"/>
      <c r="TDA54" s="1165"/>
      <c r="TDB54" s="1165"/>
      <c r="TDC54" s="1165"/>
      <c r="TDD54" s="1165"/>
      <c r="TDE54" s="1165"/>
      <c r="TDF54" s="1165"/>
      <c r="TDG54" s="1165"/>
      <c r="TDH54" s="1165"/>
      <c r="TDI54" s="1165"/>
      <c r="TDJ54" s="1165"/>
      <c r="TDK54" s="1165"/>
      <c r="TDL54" s="1165"/>
      <c r="TDM54" s="1165"/>
      <c r="TDN54" s="1165"/>
      <c r="TDO54" s="1165"/>
      <c r="TDP54" s="1165"/>
      <c r="TDQ54" s="1165"/>
      <c r="TDR54" s="1165"/>
      <c r="TDS54" s="1165"/>
      <c r="TDT54" s="1165"/>
      <c r="TDU54" s="1165"/>
      <c r="TDV54" s="1165"/>
      <c r="TDW54" s="1165"/>
      <c r="TDX54" s="1165"/>
      <c r="TDY54" s="1165"/>
      <c r="TDZ54" s="1165"/>
      <c r="TEA54" s="1165"/>
      <c r="TEB54" s="1165"/>
      <c r="TEC54" s="1165"/>
      <c r="TED54" s="1165"/>
      <c r="TEE54" s="1165"/>
      <c r="TEF54" s="1165"/>
      <c r="TEG54" s="1165"/>
      <c r="TEH54" s="1165"/>
      <c r="TEI54" s="1165"/>
      <c r="TEJ54" s="1165"/>
      <c r="TEK54" s="1165"/>
      <c r="TEL54" s="1165"/>
      <c r="TEM54" s="1165"/>
      <c r="TEN54" s="1165"/>
      <c r="TEO54" s="1165"/>
      <c r="TEP54" s="1165"/>
      <c r="TEQ54" s="1165"/>
      <c r="TER54" s="1165"/>
      <c r="TES54" s="1165"/>
      <c r="TET54" s="1165"/>
      <c r="TEU54" s="1165"/>
      <c r="TEV54" s="1165"/>
      <c r="TEW54" s="1165"/>
      <c r="TEX54" s="1165"/>
      <c r="TEY54" s="1165"/>
      <c r="TEZ54" s="1165"/>
      <c r="TFA54" s="1165"/>
      <c r="TFB54" s="1165"/>
      <c r="TFC54" s="1165"/>
      <c r="TFD54" s="1165"/>
      <c r="TFE54" s="1165"/>
      <c r="TFF54" s="1165"/>
      <c r="TFG54" s="1165"/>
      <c r="TFH54" s="1165"/>
      <c r="TFI54" s="1165"/>
      <c r="TFJ54" s="1165"/>
      <c r="TFK54" s="1165"/>
      <c r="TFL54" s="1165"/>
      <c r="TFM54" s="1165"/>
      <c r="TFN54" s="1165"/>
      <c r="TFO54" s="1165"/>
      <c r="TFP54" s="1165"/>
      <c r="TFQ54" s="1165"/>
      <c r="TFR54" s="1165"/>
      <c r="TFS54" s="1165"/>
      <c r="TFT54" s="1165"/>
      <c r="TFU54" s="1165"/>
      <c r="TFV54" s="1165"/>
      <c r="TFW54" s="1165"/>
      <c r="TFX54" s="1165"/>
      <c r="TFY54" s="1165"/>
      <c r="TFZ54" s="1165"/>
      <c r="TGA54" s="1165"/>
      <c r="TGB54" s="1165"/>
      <c r="TGC54" s="1165"/>
      <c r="TGD54" s="1165"/>
      <c r="TGE54" s="1165"/>
      <c r="TGF54" s="1165"/>
      <c r="TGG54" s="1165"/>
      <c r="TGH54" s="1165"/>
      <c r="TGI54" s="1165"/>
      <c r="TGJ54" s="1165"/>
      <c r="TGK54" s="1165"/>
      <c r="TGL54" s="1165"/>
      <c r="TGM54" s="1165"/>
      <c r="TGN54" s="1165"/>
      <c r="TGO54" s="1165"/>
      <c r="TGP54" s="1165"/>
      <c r="TGQ54" s="1165"/>
      <c r="TGR54" s="1165"/>
      <c r="TGS54" s="1165"/>
      <c r="TGT54" s="1165"/>
      <c r="TGU54" s="1165"/>
      <c r="TGV54" s="1165"/>
      <c r="TGW54" s="1165"/>
      <c r="TGX54" s="1165"/>
      <c r="TGY54" s="1165"/>
      <c r="TGZ54" s="1165"/>
      <c r="THA54" s="1165"/>
      <c r="THB54" s="1165"/>
      <c r="THC54" s="1165"/>
      <c r="THD54" s="1165"/>
      <c r="THE54" s="1165"/>
      <c r="THF54" s="1165"/>
      <c r="THG54" s="1165"/>
      <c r="THH54" s="1165"/>
      <c r="THI54" s="1165"/>
      <c r="THJ54" s="1165"/>
      <c r="THK54" s="1165"/>
      <c r="THL54" s="1165"/>
      <c r="THM54" s="1165"/>
      <c r="THN54" s="1165"/>
      <c r="THO54" s="1165"/>
      <c r="THP54" s="1165"/>
      <c r="THQ54" s="1165"/>
      <c r="THR54" s="1165"/>
      <c r="THS54" s="1165"/>
      <c r="THT54" s="1165"/>
      <c r="THU54" s="1165"/>
      <c r="THV54" s="1165"/>
      <c r="THW54" s="1165"/>
      <c r="THX54" s="1165"/>
      <c r="THY54" s="1165"/>
      <c r="THZ54" s="1165"/>
      <c r="TIA54" s="1165"/>
      <c r="TIB54" s="1165"/>
      <c r="TIC54" s="1165"/>
      <c r="TID54" s="1165"/>
      <c r="TIE54" s="1165"/>
      <c r="TIF54" s="1165"/>
      <c r="TIG54" s="1165"/>
      <c r="TIH54" s="1165"/>
      <c r="TII54" s="1165"/>
      <c r="TIJ54" s="1165"/>
      <c r="TIK54" s="1165"/>
      <c r="TIL54" s="1165"/>
      <c r="TIM54" s="1165"/>
      <c r="TIN54" s="1165"/>
      <c r="TIO54" s="1165"/>
      <c r="TIP54" s="1165"/>
      <c r="TIQ54" s="1165"/>
      <c r="TIR54" s="1165"/>
      <c r="TIS54" s="1165"/>
      <c r="TIT54" s="1165"/>
      <c r="TIU54" s="1165"/>
      <c r="TIV54" s="1165"/>
      <c r="TIW54" s="1165"/>
      <c r="TIX54" s="1165"/>
      <c r="TIY54" s="1165"/>
      <c r="TIZ54" s="1165"/>
      <c r="TJA54" s="1165"/>
      <c r="TJB54" s="1165"/>
      <c r="TJC54" s="1165"/>
      <c r="TJD54" s="1165"/>
      <c r="TJE54" s="1165"/>
      <c r="TJF54" s="1165"/>
      <c r="TJG54" s="1165"/>
      <c r="TJH54" s="1165"/>
      <c r="TJI54" s="1165"/>
      <c r="TJJ54" s="1165"/>
      <c r="TJK54" s="1165"/>
      <c r="TJL54" s="1165"/>
      <c r="TJM54" s="1165"/>
      <c r="TJN54" s="1165"/>
      <c r="TJO54" s="1165"/>
      <c r="TJP54" s="1165"/>
      <c r="TJQ54" s="1165"/>
      <c r="TJR54" s="1165"/>
      <c r="TJS54" s="1165"/>
      <c r="TJT54" s="1165"/>
      <c r="TJU54" s="1165"/>
      <c r="TJV54" s="1165"/>
      <c r="TJW54" s="1165"/>
      <c r="TJX54" s="1165"/>
      <c r="TJY54" s="1165"/>
      <c r="TJZ54" s="1165"/>
      <c r="TKA54" s="1165"/>
      <c r="TKB54" s="1165"/>
      <c r="TKC54" s="1165"/>
      <c r="TKD54" s="1165"/>
      <c r="TKE54" s="1165"/>
      <c r="TKF54" s="1165"/>
      <c r="TKG54" s="1165"/>
      <c r="TKH54" s="1165"/>
      <c r="TKI54" s="1165"/>
      <c r="TKJ54" s="1165"/>
      <c r="TKK54" s="1165"/>
      <c r="TKL54" s="1165"/>
      <c r="TKM54" s="1165"/>
      <c r="TKN54" s="1165"/>
      <c r="TKO54" s="1165"/>
      <c r="TKP54" s="1165"/>
      <c r="TKQ54" s="1165"/>
      <c r="TKR54" s="1165"/>
      <c r="TKS54" s="1165"/>
      <c r="TKT54" s="1165"/>
      <c r="TKU54" s="1165"/>
      <c r="TKV54" s="1165"/>
      <c r="TKW54" s="1165"/>
      <c r="TKX54" s="1165"/>
      <c r="TKY54" s="1165"/>
      <c r="TKZ54" s="1165"/>
      <c r="TLA54" s="1165"/>
      <c r="TLB54" s="1165"/>
      <c r="TLC54" s="1165"/>
      <c r="TLD54" s="1165"/>
      <c r="TLE54" s="1165"/>
      <c r="TLF54" s="1165"/>
      <c r="TLG54" s="1165"/>
      <c r="TLH54" s="1165"/>
      <c r="TLI54" s="1165"/>
      <c r="TLJ54" s="1165"/>
      <c r="TLK54" s="1165"/>
      <c r="TLL54" s="1165"/>
      <c r="TLM54" s="1165"/>
      <c r="TLN54" s="1165"/>
      <c r="TLO54" s="1165"/>
      <c r="TLP54" s="1165"/>
      <c r="TLQ54" s="1165"/>
      <c r="TLR54" s="1165"/>
      <c r="TLS54" s="1165"/>
      <c r="TLT54" s="1165"/>
      <c r="TLU54" s="1165"/>
      <c r="TLV54" s="1165"/>
      <c r="TLW54" s="1165"/>
      <c r="TLX54" s="1165"/>
      <c r="TLY54" s="1165"/>
      <c r="TLZ54" s="1165"/>
      <c r="TMA54" s="1165"/>
      <c r="TMB54" s="1165"/>
      <c r="TMC54" s="1165"/>
      <c r="TMD54" s="1165"/>
      <c r="TME54" s="1165"/>
      <c r="TMF54" s="1165"/>
      <c r="TMG54" s="1165"/>
      <c r="TMH54" s="1165"/>
      <c r="TMI54" s="1165"/>
      <c r="TMJ54" s="1165"/>
      <c r="TMK54" s="1165"/>
      <c r="TML54" s="1165"/>
      <c r="TMM54" s="1165"/>
      <c r="TMN54" s="1165"/>
      <c r="TMO54" s="1165"/>
      <c r="TMP54" s="1165"/>
      <c r="TMQ54" s="1165"/>
      <c r="TMR54" s="1165"/>
      <c r="TMS54" s="1165"/>
      <c r="TMT54" s="1165"/>
      <c r="TMU54" s="1165"/>
      <c r="TMV54" s="1165"/>
      <c r="TMW54" s="1165"/>
      <c r="TMX54" s="1165"/>
      <c r="TMY54" s="1165"/>
      <c r="TMZ54" s="1165"/>
      <c r="TNA54" s="1165"/>
      <c r="TNB54" s="1165"/>
      <c r="TNC54" s="1165"/>
      <c r="TND54" s="1165"/>
      <c r="TNE54" s="1165"/>
      <c r="TNF54" s="1165"/>
      <c r="TNG54" s="1165"/>
      <c r="TNH54" s="1165"/>
      <c r="TNI54" s="1165"/>
      <c r="TNJ54" s="1165"/>
      <c r="TNK54" s="1165"/>
      <c r="TNL54" s="1165"/>
      <c r="TNM54" s="1165"/>
      <c r="TNN54" s="1165"/>
      <c r="TNO54" s="1165"/>
      <c r="TNP54" s="1165"/>
      <c r="TNQ54" s="1165"/>
      <c r="TNR54" s="1165"/>
      <c r="TNS54" s="1165"/>
      <c r="TNT54" s="1165"/>
      <c r="TNU54" s="1165"/>
      <c r="TNV54" s="1165"/>
      <c r="TNW54" s="1165"/>
      <c r="TNX54" s="1165"/>
      <c r="TNY54" s="1165"/>
      <c r="TNZ54" s="1165"/>
      <c r="TOA54" s="1165"/>
      <c r="TOB54" s="1165"/>
      <c r="TOC54" s="1165"/>
      <c r="TOD54" s="1165"/>
      <c r="TOE54" s="1165"/>
      <c r="TOF54" s="1165"/>
      <c r="TOG54" s="1165"/>
      <c r="TOH54" s="1165"/>
      <c r="TOI54" s="1165"/>
      <c r="TOJ54" s="1165"/>
      <c r="TOK54" s="1165"/>
      <c r="TOL54" s="1165"/>
      <c r="TOM54" s="1165"/>
      <c r="TON54" s="1165"/>
      <c r="TOO54" s="1165"/>
      <c r="TOP54" s="1165"/>
      <c r="TOQ54" s="1165"/>
      <c r="TOR54" s="1165"/>
      <c r="TOS54" s="1165"/>
      <c r="TOT54" s="1165"/>
      <c r="TOU54" s="1165"/>
      <c r="TOV54" s="1165"/>
      <c r="TOW54" s="1165"/>
      <c r="TOX54" s="1165"/>
      <c r="TOY54" s="1165"/>
      <c r="TOZ54" s="1165"/>
      <c r="TPA54" s="1165"/>
      <c r="TPB54" s="1165"/>
      <c r="TPC54" s="1165"/>
      <c r="TPD54" s="1165"/>
      <c r="TPE54" s="1165"/>
      <c r="TPF54" s="1165"/>
      <c r="TPG54" s="1165"/>
      <c r="TPH54" s="1165"/>
      <c r="TPI54" s="1165"/>
      <c r="TPJ54" s="1165"/>
      <c r="TPK54" s="1165"/>
      <c r="TPL54" s="1165"/>
      <c r="TPM54" s="1165"/>
      <c r="TPN54" s="1165"/>
      <c r="TPO54" s="1165"/>
      <c r="TPP54" s="1165"/>
      <c r="TPQ54" s="1165"/>
      <c r="TPR54" s="1165"/>
      <c r="TPS54" s="1165"/>
      <c r="TPT54" s="1165"/>
      <c r="TPU54" s="1165"/>
      <c r="TPV54" s="1165"/>
      <c r="TPW54" s="1165"/>
      <c r="TPX54" s="1165"/>
      <c r="TPY54" s="1165"/>
      <c r="TPZ54" s="1165"/>
      <c r="TQA54" s="1165"/>
      <c r="TQB54" s="1165"/>
      <c r="TQC54" s="1165"/>
      <c r="TQD54" s="1165"/>
      <c r="TQE54" s="1165"/>
      <c r="TQF54" s="1165"/>
      <c r="TQG54" s="1165"/>
      <c r="TQH54" s="1165"/>
      <c r="TQI54" s="1165"/>
      <c r="TQJ54" s="1165"/>
      <c r="TQK54" s="1165"/>
      <c r="TQL54" s="1165"/>
      <c r="TQM54" s="1165"/>
      <c r="TQN54" s="1165"/>
      <c r="TQO54" s="1165"/>
      <c r="TQP54" s="1165"/>
      <c r="TQQ54" s="1165"/>
      <c r="TQR54" s="1165"/>
      <c r="TQS54" s="1165"/>
      <c r="TQT54" s="1165"/>
      <c r="TQU54" s="1165"/>
      <c r="TQV54" s="1165"/>
      <c r="TQW54" s="1165"/>
      <c r="TQX54" s="1165"/>
      <c r="TQY54" s="1165"/>
      <c r="TQZ54" s="1165"/>
      <c r="TRA54" s="1165"/>
      <c r="TRB54" s="1165"/>
      <c r="TRC54" s="1165"/>
      <c r="TRD54" s="1165"/>
      <c r="TRE54" s="1165"/>
      <c r="TRF54" s="1165"/>
      <c r="TRG54" s="1165"/>
      <c r="TRH54" s="1165"/>
      <c r="TRI54" s="1165"/>
      <c r="TRJ54" s="1165"/>
      <c r="TRK54" s="1165"/>
      <c r="TRL54" s="1165"/>
      <c r="TRM54" s="1165"/>
      <c r="TRN54" s="1165"/>
      <c r="TRO54" s="1165"/>
      <c r="TRP54" s="1165"/>
      <c r="TRQ54" s="1165"/>
      <c r="TRR54" s="1165"/>
      <c r="TRS54" s="1165"/>
      <c r="TRT54" s="1165"/>
      <c r="TRU54" s="1165"/>
      <c r="TRV54" s="1165"/>
      <c r="TRW54" s="1165"/>
      <c r="TRX54" s="1165"/>
      <c r="TRY54" s="1165"/>
      <c r="TRZ54" s="1165"/>
      <c r="TSA54" s="1165"/>
      <c r="TSB54" s="1165"/>
      <c r="TSC54" s="1165"/>
      <c r="TSD54" s="1165"/>
      <c r="TSE54" s="1165"/>
      <c r="TSF54" s="1165"/>
      <c r="TSG54" s="1165"/>
      <c r="TSH54" s="1165"/>
      <c r="TSI54" s="1165"/>
      <c r="TSJ54" s="1165"/>
      <c r="TSK54" s="1165"/>
      <c r="TSL54" s="1165"/>
      <c r="TSM54" s="1165"/>
      <c r="TSN54" s="1165"/>
      <c r="TSO54" s="1165"/>
      <c r="TSP54" s="1165"/>
      <c r="TSQ54" s="1165"/>
      <c r="TSR54" s="1165"/>
      <c r="TSS54" s="1165"/>
      <c r="TST54" s="1165"/>
      <c r="TSU54" s="1165"/>
      <c r="TSV54" s="1165"/>
      <c r="TSW54" s="1165"/>
      <c r="TSX54" s="1165"/>
      <c r="TSY54" s="1165"/>
      <c r="TSZ54" s="1165"/>
      <c r="TTA54" s="1165"/>
      <c r="TTB54" s="1165"/>
      <c r="TTC54" s="1165"/>
      <c r="TTD54" s="1165"/>
      <c r="TTE54" s="1165"/>
      <c r="TTF54" s="1165"/>
      <c r="TTG54" s="1165"/>
      <c r="TTH54" s="1165"/>
      <c r="TTI54" s="1165"/>
      <c r="TTJ54" s="1165"/>
      <c r="TTK54" s="1165"/>
      <c r="TTL54" s="1165"/>
      <c r="TTM54" s="1165"/>
      <c r="TTN54" s="1165"/>
      <c r="TTO54" s="1165"/>
      <c r="TTP54" s="1165"/>
      <c r="TTQ54" s="1165"/>
      <c r="TTR54" s="1165"/>
      <c r="TTS54" s="1165"/>
      <c r="TTT54" s="1165"/>
      <c r="TTU54" s="1165"/>
      <c r="TTV54" s="1165"/>
      <c r="TTW54" s="1165"/>
      <c r="TTX54" s="1165"/>
      <c r="TTY54" s="1165"/>
      <c r="TTZ54" s="1165"/>
      <c r="TUA54" s="1165"/>
      <c r="TUB54" s="1165"/>
      <c r="TUC54" s="1165"/>
      <c r="TUD54" s="1165"/>
      <c r="TUE54" s="1165"/>
      <c r="TUF54" s="1165"/>
      <c r="TUG54" s="1165"/>
      <c r="TUH54" s="1165"/>
      <c r="TUI54" s="1165"/>
      <c r="TUJ54" s="1165"/>
      <c r="TUK54" s="1165"/>
      <c r="TUL54" s="1165"/>
      <c r="TUM54" s="1165"/>
      <c r="TUN54" s="1165"/>
      <c r="TUO54" s="1165"/>
      <c r="TUP54" s="1165"/>
      <c r="TUQ54" s="1165"/>
      <c r="TUR54" s="1165"/>
      <c r="TUS54" s="1165"/>
      <c r="TUT54" s="1165"/>
      <c r="TUU54" s="1165"/>
      <c r="TUV54" s="1165"/>
      <c r="TUW54" s="1165"/>
      <c r="TUX54" s="1165"/>
      <c r="TUY54" s="1165"/>
      <c r="TUZ54" s="1165"/>
      <c r="TVA54" s="1165"/>
      <c r="TVB54" s="1165"/>
      <c r="TVC54" s="1165"/>
      <c r="TVD54" s="1165"/>
      <c r="TVE54" s="1165"/>
      <c r="TVF54" s="1165"/>
      <c r="TVG54" s="1165"/>
      <c r="TVH54" s="1165"/>
      <c r="TVI54" s="1165"/>
      <c r="TVJ54" s="1165"/>
      <c r="TVK54" s="1165"/>
      <c r="TVL54" s="1165"/>
      <c r="TVM54" s="1165"/>
      <c r="TVN54" s="1165"/>
      <c r="TVO54" s="1165"/>
      <c r="TVP54" s="1165"/>
      <c r="TVQ54" s="1165"/>
      <c r="TVR54" s="1165"/>
      <c r="TVS54" s="1165"/>
      <c r="TVT54" s="1165"/>
      <c r="TVU54" s="1165"/>
      <c r="TVV54" s="1165"/>
      <c r="TVW54" s="1165"/>
      <c r="TVX54" s="1165"/>
      <c r="TVY54" s="1165"/>
      <c r="TVZ54" s="1165"/>
      <c r="TWA54" s="1165"/>
      <c r="TWB54" s="1165"/>
      <c r="TWC54" s="1165"/>
      <c r="TWD54" s="1165"/>
      <c r="TWE54" s="1165"/>
      <c r="TWF54" s="1165"/>
      <c r="TWG54" s="1165"/>
      <c r="TWH54" s="1165"/>
      <c r="TWI54" s="1165"/>
      <c r="TWJ54" s="1165"/>
      <c r="TWK54" s="1165"/>
      <c r="TWL54" s="1165"/>
      <c r="TWM54" s="1165"/>
      <c r="TWN54" s="1165"/>
      <c r="TWO54" s="1165"/>
      <c r="TWP54" s="1165"/>
      <c r="TWQ54" s="1165"/>
      <c r="TWR54" s="1165"/>
      <c r="TWS54" s="1165"/>
      <c r="TWT54" s="1165"/>
      <c r="TWU54" s="1165"/>
      <c r="TWV54" s="1165"/>
      <c r="TWW54" s="1165"/>
      <c r="TWX54" s="1165"/>
      <c r="TWY54" s="1165"/>
      <c r="TWZ54" s="1165"/>
      <c r="TXA54" s="1165"/>
      <c r="TXB54" s="1165"/>
      <c r="TXC54" s="1165"/>
      <c r="TXD54" s="1165"/>
      <c r="TXE54" s="1165"/>
      <c r="TXF54" s="1165"/>
      <c r="TXG54" s="1165"/>
      <c r="TXH54" s="1165"/>
      <c r="TXI54" s="1165"/>
      <c r="TXJ54" s="1165"/>
      <c r="TXK54" s="1165"/>
      <c r="TXL54" s="1165"/>
      <c r="TXM54" s="1165"/>
      <c r="TXN54" s="1165"/>
      <c r="TXO54" s="1165"/>
      <c r="TXP54" s="1165"/>
      <c r="TXQ54" s="1165"/>
      <c r="TXR54" s="1165"/>
      <c r="TXS54" s="1165"/>
      <c r="TXT54" s="1165"/>
      <c r="TXU54" s="1165"/>
      <c r="TXV54" s="1165"/>
      <c r="TXW54" s="1165"/>
      <c r="TXX54" s="1165"/>
      <c r="TXY54" s="1165"/>
      <c r="TXZ54" s="1165"/>
      <c r="TYA54" s="1165"/>
      <c r="TYB54" s="1165"/>
      <c r="TYC54" s="1165"/>
      <c r="TYD54" s="1165"/>
      <c r="TYE54" s="1165"/>
      <c r="TYF54" s="1165"/>
      <c r="TYG54" s="1165"/>
      <c r="TYH54" s="1165"/>
      <c r="TYI54" s="1165"/>
      <c r="TYJ54" s="1165"/>
      <c r="TYK54" s="1165"/>
      <c r="TYL54" s="1165"/>
      <c r="TYM54" s="1165"/>
      <c r="TYN54" s="1165"/>
      <c r="TYO54" s="1165"/>
      <c r="TYP54" s="1165"/>
      <c r="TYQ54" s="1165"/>
      <c r="TYR54" s="1165"/>
      <c r="TYS54" s="1165"/>
      <c r="TYT54" s="1165"/>
      <c r="TYU54" s="1165"/>
      <c r="TYV54" s="1165"/>
      <c r="TYW54" s="1165"/>
      <c r="TYX54" s="1165"/>
      <c r="TYY54" s="1165"/>
      <c r="TYZ54" s="1165"/>
      <c r="TZA54" s="1165"/>
      <c r="TZB54" s="1165"/>
      <c r="TZC54" s="1165"/>
      <c r="TZD54" s="1165"/>
      <c r="TZE54" s="1165"/>
      <c r="TZF54" s="1165"/>
      <c r="TZG54" s="1165"/>
      <c r="TZH54" s="1165"/>
      <c r="TZI54" s="1165"/>
      <c r="TZJ54" s="1165"/>
      <c r="TZK54" s="1165"/>
      <c r="TZL54" s="1165"/>
      <c r="TZM54" s="1165"/>
      <c r="TZN54" s="1165"/>
      <c r="TZO54" s="1165"/>
      <c r="TZP54" s="1165"/>
      <c r="TZQ54" s="1165"/>
      <c r="TZR54" s="1165"/>
      <c r="TZS54" s="1165"/>
      <c r="TZT54" s="1165"/>
      <c r="TZU54" s="1165"/>
      <c r="TZV54" s="1165"/>
      <c r="TZW54" s="1165"/>
      <c r="TZX54" s="1165"/>
      <c r="TZY54" s="1165"/>
      <c r="TZZ54" s="1165"/>
      <c r="UAA54" s="1165"/>
      <c r="UAB54" s="1165"/>
      <c r="UAC54" s="1165"/>
      <c r="UAD54" s="1165"/>
      <c r="UAE54" s="1165"/>
      <c r="UAF54" s="1165"/>
      <c r="UAG54" s="1165"/>
      <c r="UAH54" s="1165"/>
      <c r="UAI54" s="1165"/>
      <c r="UAJ54" s="1165"/>
      <c r="UAK54" s="1165"/>
      <c r="UAL54" s="1165"/>
      <c r="UAM54" s="1165"/>
      <c r="UAN54" s="1165"/>
      <c r="UAO54" s="1165"/>
      <c r="UAP54" s="1165"/>
      <c r="UAQ54" s="1165"/>
      <c r="UAR54" s="1165"/>
      <c r="UAS54" s="1165"/>
      <c r="UAT54" s="1165"/>
      <c r="UAU54" s="1165"/>
      <c r="UAV54" s="1165"/>
      <c r="UAW54" s="1165"/>
      <c r="UAX54" s="1165"/>
      <c r="UAY54" s="1165"/>
      <c r="UAZ54" s="1165"/>
      <c r="UBA54" s="1165"/>
      <c r="UBB54" s="1165"/>
      <c r="UBC54" s="1165"/>
      <c r="UBD54" s="1165"/>
      <c r="UBE54" s="1165"/>
      <c r="UBF54" s="1165"/>
      <c r="UBG54" s="1165"/>
      <c r="UBH54" s="1165"/>
      <c r="UBI54" s="1165"/>
      <c r="UBJ54" s="1165"/>
      <c r="UBK54" s="1165"/>
      <c r="UBL54" s="1165"/>
      <c r="UBM54" s="1165"/>
      <c r="UBN54" s="1165"/>
      <c r="UBO54" s="1165"/>
      <c r="UBP54" s="1165"/>
      <c r="UBQ54" s="1165"/>
      <c r="UBR54" s="1165"/>
      <c r="UBS54" s="1165"/>
      <c r="UBT54" s="1165"/>
      <c r="UBU54" s="1165"/>
      <c r="UBV54" s="1165"/>
      <c r="UBW54" s="1165"/>
      <c r="UBX54" s="1165"/>
      <c r="UBY54" s="1165"/>
      <c r="UBZ54" s="1165"/>
      <c r="UCA54" s="1165"/>
      <c r="UCB54" s="1165"/>
      <c r="UCC54" s="1165"/>
      <c r="UCD54" s="1165"/>
      <c r="UCE54" s="1165"/>
      <c r="UCF54" s="1165"/>
      <c r="UCG54" s="1165"/>
      <c r="UCH54" s="1165"/>
      <c r="UCI54" s="1165"/>
      <c r="UCJ54" s="1165"/>
      <c r="UCK54" s="1165"/>
      <c r="UCL54" s="1165"/>
      <c r="UCM54" s="1165"/>
      <c r="UCN54" s="1165"/>
      <c r="UCO54" s="1165"/>
      <c r="UCP54" s="1165"/>
      <c r="UCQ54" s="1165"/>
      <c r="UCR54" s="1165"/>
      <c r="UCS54" s="1165"/>
      <c r="UCT54" s="1165"/>
      <c r="UCU54" s="1165"/>
      <c r="UCV54" s="1165"/>
      <c r="UCW54" s="1165"/>
      <c r="UCX54" s="1165"/>
      <c r="UCY54" s="1165"/>
      <c r="UCZ54" s="1165"/>
      <c r="UDA54" s="1165"/>
      <c r="UDB54" s="1165"/>
      <c r="UDC54" s="1165"/>
      <c r="UDD54" s="1165"/>
      <c r="UDE54" s="1165"/>
      <c r="UDF54" s="1165"/>
      <c r="UDG54" s="1165"/>
      <c r="UDH54" s="1165"/>
      <c r="UDI54" s="1165"/>
      <c r="UDJ54" s="1165"/>
      <c r="UDK54" s="1165"/>
      <c r="UDL54" s="1165"/>
      <c r="UDM54" s="1165"/>
      <c r="UDN54" s="1165"/>
      <c r="UDO54" s="1165"/>
      <c r="UDP54" s="1165"/>
      <c r="UDQ54" s="1165"/>
      <c r="UDR54" s="1165"/>
      <c r="UDS54" s="1165"/>
      <c r="UDT54" s="1165"/>
      <c r="UDU54" s="1165"/>
      <c r="UDV54" s="1165"/>
      <c r="UDW54" s="1165"/>
      <c r="UDX54" s="1165"/>
      <c r="UDY54" s="1165"/>
      <c r="UDZ54" s="1165"/>
      <c r="UEA54" s="1165"/>
      <c r="UEB54" s="1165"/>
      <c r="UEC54" s="1165"/>
      <c r="UED54" s="1165"/>
      <c r="UEE54" s="1165"/>
      <c r="UEF54" s="1165"/>
      <c r="UEG54" s="1165"/>
      <c r="UEH54" s="1165"/>
      <c r="UEI54" s="1165"/>
      <c r="UEJ54" s="1165"/>
      <c r="UEK54" s="1165"/>
      <c r="UEL54" s="1165"/>
      <c r="UEM54" s="1165"/>
      <c r="UEN54" s="1165"/>
      <c r="UEO54" s="1165"/>
      <c r="UEP54" s="1165"/>
      <c r="UEQ54" s="1165"/>
      <c r="UER54" s="1165"/>
      <c r="UES54" s="1165"/>
      <c r="UET54" s="1165"/>
      <c r="UEU54" s="1165"/>
      <c r="UEV54" s="1165"/>
      <c r="UEW54" s="1165"/>
      <c r="UEX54" s="1165"/>
      <c r="UEY54" s="1165"/>
      <c r="UEZ54" s="1165"/>
      <c r="UFA54" s="1165"/>
      <c r="UFB54" s="1165"/>
      <c r="UFC54" s="1165"/>
      <c r="UFD54" s="1165"/>
      <c r="UFE54" s="1165"/>
      <c r="UFF54" s="1165"/>
      <c r="UFG54" s="1165"/>
      <c r="UFH54" s="1165"/>
      <c r="UFI54" s="1165"/>
      <c r="UFJ54" s="1165"/>
      <c r="UFK54" s="1165"/>
      <c r="UFL54" s="1165"/>
      <c r="UFM54" s="1165"/>
      <c r="UFN54" s="1165"/>
      <c r="UFO54" s="1165"/>
      <c r="UFP54" s="1165"/>
      <c r="UFQ54" s="1165"/>
      <c r="UFR54" s="1165"/>
      <c r="UFS54" s="1165"/>
      <c r="UFT54" s="1165"/>
      <c r="UFU54" s="1165"/>
      <c r="UFV54" s="1165"/>
      <c r="UFW54" s="1165"/>
      <c r="UFX54" s="1165"/>
      <c r="UFY54" s="1165"/>
      <c r="UFZ54" s="1165"/>
      <c r="UGA54" s="1165"/>
      <c r="UGB54" s="1165"/>
      <c r="UGC54" s="1165"/>
      <c r="UGD54" s="1165"/>
      <c r="UGE54" s="1165"/>
      <c r="UGF54" s="1165"/>
      <c r="UGG54" s="1165"/>
      <c r="UGH54" s="1165"/>
      <c r="UGI54" s="1165"/>
      <c r="UGJ54" s="1165"/>
      <c r="UGK54" s="1165"/>
      <c r="UGL54" s="1165"/>
      <c r="UGM54" s="1165"/>
      <c r="UGN54" s="1165"/>
      <c r="UGO54" s="1165"/>
      <c r="UGP54" s="1165"/>
      <c r="UGQ54" s="1165"/>
      <c r="UGR54" s="1165"/>
      <c r="UGS54" s="1165"/>
      <c r="UGT54" s="1165"/>
      <c r="UGU54" s="1165"/>
      <c r="UGV54" s="1165"/>
      <c r="UGW54" s="1165"/>
      <c r="UGX54" s="1165"/>
      <c r="UGY54" s="1165"/>
      <c r="UGZ54" s="1165"/>
      <c r="UHA54" s="1165"/>
      <c r="UHB54" s="1165"/>
      <c r="UHC54" s="1165"/>
      <c r="UHD54" s="1165"/>
      <c r="UHE54" s="1165"/>
      <c r="UHF54" s="1165"/>
      <c r="UHG54" s="1165"/>
      <c r="UHH54" s="1165"/>
      <c r="UHI54" s="1165"/>
      <c r="UHJ54" s="1165"/>
      <c r="UHK54" s="1165"/>
      <c r="UHL54" s="1165"/>
      <c r="UHM54" s="1165"/>
      <c r="UHN54" s="1165"/>
      <c r="UHO54" s="1165"/>
      <c r="UHP54" s="1165"/>
      <c r="UHQ54" s="1165"/>
      <c r="UHR54" s="1165"/>
      <c r="UHS54" s="1165"/>
      <c r="UHT54" s="1165"/>
      <c r="UHU54" s="1165"/>
      <c r="UHV54" s="1165"/>
      <c r="UHW54" s="1165"/>
      <c r="UHX54" s="1165"/>
      <c r="UHY54" s="1165"/>
      <c r="UHZ54" s="1165"/>
      <c r="UIA54" s="1165"/>
      <c r="UIB54" s="1165"/>
      <c r="UIC54" s="1165"/>
      <c r="UID54" s="1165"/>
      <c r="UIE54" s="1165"/>
      <c r="UIF54" s="1165"/>
      <c r="UIG54" s="1165"/>
      <c r="UIH54" s="1165"/>
      <c r="UII54" s="1165"/>
      <c r="UIJ54" s="1165"/>
      <c r="UIK54" s="1165"/>
      <c r="UIL54" s="1165"/>
      <c r="UIM54" s="1165"/>
      <c r="UIN54" s="1165"/>
      <c r="UIO54" s="1165"/>
      <c r="UIP54" s="1165"/>
      <c r="UIQ54" s="1165"/>
      <c r="UIR54" s="1165"/>
      <c r="UIS54" s="1165"/>
      <c r="UIT54" s="1165"/>
      <c r="UIU54" s="1165"/>
      <c r="UIV54" s="1165"/>
      <c r="UIW54" s="1165"/>
      <c r="UIX54" s="1165"/>
      <c r="UIY54" s="1165"/>
      <c r="UIZ54" s="1165"/>
      <c r="UJA54" s="1165"/>
      <c r="UJB54" s="1165"/>
      <c r="UJC54" s="1165"/>
      <c r="UJD54" s="1165"/>
      <c r="UJE54" s="1165"/>
      <c r="UJF54" s="1165"/>
      <c r="UJG54" s="1165"/>
      <c r="UJH54" s="1165"/>
      <c r="UJI54" s="1165"/>
      <c r="UJJ54" s="1165"/>
      <c r="UJK54" s="1165"/>
      <c r="UJL54" s="1165"/>
      <c r="UJM54" s="1165"/>
      <c r="UJN54" s="1165"/>
      <c r="UJO54" s="1165"/>
      <c r="UJP54" s="1165"/>
      <c r="UJQ54" s="1165"/>
      <c r="UJR54" s="1165"/>
      <c r="UJS54" s="1165"/>
      <c r="UJT54" s="1165"/>
      <c r="UJU54" s="1165"/>
      <c r="UJV54" s="1165"/>
      <c r="UJW54" s="1165"/>
      <c r="UJX54" s="1165"/>
      <c r="UJY54" s="1165"/>
      <c r="UJZ54" s="1165"/>
      <c r="UKA54" s="1165"/>
      <c r="UKB54" s="1165"/>
      <c r="UKC54" s="1165"/>
      <c r="UKD54" s="1165"/>
      <c r="UKE54" s="1165"/>
      <c r="UKF54" s="1165"/>
      <c r="UKG54" s="1165"/>
      <c r="UKH54" s="1165"/>
      <c r="UKI54" s="1165"/>
      <c r="UKJ54" s="1165"/>
      <c r="UKK54" s="1165"/>
      <c r="UKL54" s="1165"/>
      <c r="UKM54" s="1165"/>
      <c r="UKN54" s="1165"/>
      <c r="UKO54" s="1165"/>
      <c r="UKP54" s="1165"/>
      <c r="UKQ54" s="1165"/>
      <c r="UKR54" s="1165"/>
      <c r="UKS54" s="1165"/>
      <c r="UKT54" s="1165"/>
      <c r="UKU54" s="1165"/>
      <c r="UKV54" s="1165"/>
      <c r="UKW54" s="1165"/>
      <c r="UKX54" s="1165"/>
      <c r="UKY54" s="1165"/>
      <c r="UKZ54" s="1165"/>
      <c r="ULA54" s="1165"/>
      <c r="ULB54" s="1165"/>
      <c r="ULC54" s="1165"/>
      <c r="ULD54" s="1165"/>
      <c r="ULE54" s="1165"/>
      <c r="ULF54" s="1165"/>
      <c r="ULG54" s="1165"/>
      <c r="ULH54" s="1165"/>
      <c r="ULI54" s="1165"/>
      <c r="ULJ54" s="1165"/>
      <c r="ULK54" s="1165"/>
      <c r="ULL54" s="1165"/>
      <c r="ULM54" s="1165"/>
      <c r="ULN54" s="1165"/>
      <c r="ULO54" s="1165"/>
      <c r="ULP54" s="1165"/>
      <c r="ULQ54" s="1165"/>
      <c r="ULR54" s="1165"/>
      <c r="ULS54" s="1165"/>
      <c r="ULT54" s="1165"/>
      <c r="ULU54" s="1165"/>
      <c r="ULV54" s="1165"/>
      <c r="ULW54" s="1165"/>
      <c r="ULX54" s="1165"/>
      <c r="ULY54" s="1165"/>
      <c r="ULZ54" s="1165"/>
      <c r="UMA54" s="1165"/>
      <c r="UMB54" s="1165"/>
      <c r="UMC54" s="1165"/>
      <c r="UMD54" s="1165"/>
      <c r="UME54" s="1165"/>
      <c r="UMF54" s="1165"/>
      <c r="UMG54" s="1165"/>
      <c r="UMH54" s="1165"/>
      <c r="UMI54" s="1165"/>
      <c r="UMJ54" s="1165"/>
      <c r="UMK54" s="1165"/>
      <c r="UML54" s="1165"/>
      <c r="UMM54" s="1165"/>
      <c r="UMN54" s="1165"/>
      <c r="UMO54" s="1165"/>
      <c r="UMP54" s="1165"/>
      <c r="UMQ54" s="1165"/>
      <c r="UMR54" s="1165"/>
      <c r="UMS54" s="1165"/>
      <c r="UMT54" s="1165"/>
      <c r="UMU54" s="1165"/>
      <c r="UMV54" s="1165"/>
      <c r="UMW54" s="1165"/>
      <c r="UMX54" s="1165"/>
      <c r="UMY54" s="1165"/>
      <c r="UMZ54" s="1165"/>
      <c r="UNA54" s="1165"/>
      <c r="UNB54" s="1165"/>
      <c r="UNC54" s="1165"/>
      <c r="UND54" s="1165"/>
      <c r="UNE54" s="1165"/>
      <c r="UNF54" s="1165"/>
      <c r="UNG54" s="1165"/>
      <c r="UNH54" s="1165"/>
      <c r="UNI54" s="1165"/>
      <c r="UNJ54" s="1165"/>
      <c r="UNK54" s="1165"/>
      <c r="UNL54" s="1165"/>
      <c r="UNM54" s="1165"/>
      <c r="UNN54" s="1165"/>
      <c r="UNO54" s="1165"/>
      <c r="UNP54" s="1165"/>
      <c r="UNQ54" s="1165"/>
      <c r="UNR54" s="1165"/>
      <c r="UNS54" s="1165"/>
      <c r="UNT54" s="1165"/>
      <c r="UNU54" s="1165"/>
      <c r="UNV54" s="1165"/>
      <c r="UNW54" s="1165"/>
      <c r="UNX54" s="1165"/>
      <c r="UNY54" s="1165"/>
      <c r="UNZ54" s="1165"/>
      <c r="UOA54" s="1165"/>
      <c r="UOB54" s="1165"/>
      <c r="UOC54" s="1165"/>
      <c r="UOD54" s="1165"/>
      <c r="UOE54" s="1165"/>
      <c r="UOF54" s="1165"/>
      <c r="UOG54" s="1165"/>
      <c r="UOH54" s="1165"/>
      <c r="UOI54" s="1165"/>
      <c r="UOJ54" s="1165"/>
      <c r="UOK54" s="1165"/>
      <c r="UOL54" s="1165"/>
      <c r="UOM54" s="1165"/>
      <c r="UON54" s="1165"/>
      <c r="UOO54" s="1165"/>
      <c r="UOP54" s="1165"/>
      <c r="UOQ54" s="1165"/>
      <c r="UOR54" s="1165"/>
      <c r="UOS54" s="1165"/>
      <c r="UOT54" s="1165"/>
      <c r="UOU54" s="1165"/>
      <c r="UOV54" s="1165"/>
      <c r="UOW54" s="1165"/>
      <c r="UOX54" s="1165"/>
      <c r="UOY54" s="1165"/>
      <c r="UOZ54" s="1165"/>
      <c r="UPA54" s="1165"/>
      <c r="UPB54" s="1165"/>
      <c r="UPC54" s="1165"/>
      <c r="UPD54" s="1165"/>
      <c r="UPE54" s="1165"/>
      <c r="UPF54" s="1165"/>
      <c r="UPG54" s="1165"/>
      <c r="UPH54" s="1165"/>
      <c r="UPI54" s="1165"/>
      <c r="UPJ54" s="1165"/>
      <c r="UPK54" s="1165"/>
      <c r="UPL54" s="1165"/>
      <c r="UPM54" s="1165"/>
      <c r="UPN54" s="1165"/>
      <c r="UPO54" s="1165"/>
      <c r="UPP54" s="1165"/>
      <c r="UPQ54" s="1165"/>
      <c r="UPR54" s="1165"/>
      <c r="UPS54" s="1165"/>
      <c r="UPT54" s="1165"/>
      <c r="UPU54" s="1165"/>
      <c r="UPV54" s="1165"/>
      <c r="UPW54" s="1165"/>
      <c r="UPX54" s="1165"/>
      <c r="UPY54" s="1165"/>
      <c r="UPZ54" s="1165"/>
      <c r="UQA54" s="1165"/>
      <c r="UQB54" s="1165"/>
      <c r="UQC54" s="1165"/>
      <c r="UQD54" s="1165"/>
      <c r="UQE54" s="1165"/>
      <c r="UQF54" s="1165"/>
      <c r="UQG54" s="1165"/>
      <c r="UQH54" s="1165"/>
      <c r="UQI54" s="1165"/>
      <c r="UQJ54" s="1165"/>
      <c r="UQK54" s="1165"/>
      <c r="UQL54" s="1165"/>
      <c r="UQM54" s="1165"/>
      <c r="UQN54" s="1165"/>
      <c r="UQO54" s="1165"/>
      <c r="UQP54" s="1165"/>
      <c r="UQQ54" s="1165"/>
      <c r="UQR54" s="1165"/>
      <c r="UQS54" s="1165"/>
      <c r="UQT54" s="1165"/>
      <c r="UQU54" s="1165"/>
      <c r="UQV54" s="1165"/>
      <c r="UQW54" s="1165"/>
      <c r="UQX54" s="1165"/>
      <c r="UQY54" s="1165"/>
      <c r="UQZ54" s="1165"/>
      <c r="URA54" s="1165"/>
      <c r="URB54" s="1165"/>
      <c r="URC54" s="1165"/>
      <c r="URD54" s="1165"/>
      <c r="URE54" s="1165"/>
      <c r="URF54" s="1165"/>
      <c r="URG54" s="1165"/>
      <c r="URH54" s="1165"/>
      <c r="URI54" s="1165"/>
      <c r="URJ54" s="1165"/>
      <c r="URK54" s="1165"/>
      <c r="URL54" s="1165"/>
      <c r="URM54" s="1165"/>
      <c r="URN54" s="1165"/>
      <c r="URO54" s="1165"/>
      <c r="URP54" s="1165"/>
      <c r="URQ54" s="1165"/>
      <c r="URR54" s="1165"/>
      <c r="URS54" s="1165"/>
      <c r="URT54" s="1165"/>
      <c r="URU54" s="1165"/>
      <c r="URV54" s="1165"/>
      <c r="URW54" s="1165"/>
      <c r="URX54" s="1165"/>
      <c r="URY54" s="1165"/>
      <c r="URZ54" s="1165"/>
      <c r="USA54" s="1165"/>
      <c r="USB54" s="1165"/>
      <c r="USC54" s="1165"/>
      <c r="USD54" s="1165"/>
      <c r="USE54" s="1165"/>
      <c r="USF54" s="1165"/>
      <c r="USG54" s="1165"/>
      <c r="USH54" s="1165"/>
      <c r="USI54" s="1165"/>
      <c r="USJ54" s="1165"/>
      <c r="USK54" s="1165"/>
      <c r="USL54" s="1165"/>
      <c r="USM54" s="1165"/>
      <c r="USN54" s="1165"/>
      <c r="USO54" s="1165"/>
      <c r="USP54" s="1165"/>
      <c r="USQ54" s="1165"/>
      <c r="USR54" s="1165"/>
      <c r="USS54" s="1165"/>
      <c r="UST54" s="1165"/>
      <c r="USU54" s="1165"/>
      <c r="USV54" s="1165"/>
      <c r="USW54" s="1165"/>
      <c r="USX54" s="1165"/>
      <c r="USY54" s="1165"/>
      <c r="USZ54" s="1165"/>
      <c r="UTA54" s="1165"/>
      <c r="UTB54" s="1165"/>
      <c r="UTC54" s="1165"/>
      <c r="UTD54" s="1165"/>
      <c r="UTE54" s="1165"/>
      <c r="UTF54" s="1165"/>
      <c r="UTG54" s="1165"/>
      <c r="UTH54" s="1165"/>
      <c r="UTI54" s="1165"/>
      <c r="UTJ54" s="1165"/>
      <c r="UTK54" s="1165"/>
      <c r="UTL54" s="1165"/>
      <c r="UTM54" s="1165"/>
      <c r="UTN54" s="1165"/>
      <c r="UTO54" s="1165"/>
      <c r="UTP54" s="1165"/>
      <c r="UTQ54" s="1165"/>
      <c r="UTR54" s="1165"/>
      <c r="UTS54" s="1165"/>
      <c r="UTT54" s="1165"/>
      <c r="UTU54" s="1165"/>
      <c r="UTV54" s="1165"/>
      <c r="UTW54" s="1165"/>
      <c r="UTX54" s="1165"/>
      <c r="UTY54" s="1165"/>
      <c r="UTZ54" s="1165"/>
      <c r="UUA54" s="1165"/>
      <c r="UUB54" s="1165"/>
      <c r="UUC54" s="1165"/>
      <c r="UUD54" s="1165"/>
      <c r="UUE54" s="1165"/>
      <c r="UUF54" s="1165"/>
      <c r="UUG54" s="1165"/>
      <c r="UUH54" s="1165"/>
      <c r="UUI54" s="1165"/>
      <c r="UUJ54" s="1165"/>
      <c r="UUK54" s="1165"/>
      <c r="UUL54" s="1165"/>
      <c r="UUM54" s="1165"/>
      <c r="UUN54" s="1165"/>
      <c r="UUO54" s="1165"/>
      <c r="UUP54" s="1165"/>
      <c r="UUQ54" s="1165"/>
      <c r="UUR54" s="1165"/>
      <c r="UUS54" s="1165"/>
      <c r="UUT54" s="1165"/>
      <c r="UUU54" s="1165"/>
      <c r="UUV54" s="1165"/>
      <c r="UUW54" s="1165"/>
      <c r="UUX54" s="1165"/>
      <c r="UUY54" s="1165"/>
      <c r="UUZ54" s="1165"/>
      <c r="UVA54" s="1165"/>
      <c r="UVB54" s="1165"/>
      <c r="UVC54" s="1165"/>
      <c r="UVD54" s="1165"/>
      <c r="UVE54" s="1165"/>
      <c r="UVF54" s="1165"/>
      <c r="UVG54" s="1165"/>
      <c r="UVH54" s="1165"/>
      <c r="UVI54" s="1165"/>
      <c r="UVJ54" s="1165"/>
      <c r="UVK54" s="1165"/>
      <c r="UVL54" s="1165"/>
      <c r="UVM54" s="1165"/>
      <c r="UVN54" s="1165"/>
      <c r="UVO54" s="1165"/>
      <c r="UVP54" s="1165"/>
      <c r="UVQ54" s="1165"/>
      <c r="UVR54" s="1165"/>
      <c r="UVS54" s="1165"/>
      <c r="UVT54" s="1165"/>
      <c r="UVU54" s="1165"/>
      <c r="UVV54" s="1165"/>
      <c r="UVW54" s="1165"/>
      <c r="UVX54" s="1165"/>
      <c r="UVY54" s="1165"/>
      <c r="UVZ54" s="1165"/>
      <c r="UWA54" s="1165"/>
      <c r="UWB54" s="1165"/>
      <c r="UWC54" s="1165"/>
      <c r="UWD54" s="1165"/>
      <c r="UWE54" s="1165"/>
      <c r="UWF54" s="1165"/>
      <c r="UWG54" s="1165"/>
      <c r="UWH54" s="1165"/>
      <c r="UWI54" s="1165"/>
      <c r="UWJ54" s="1165"/>
      <c r="UWK54" s="1165"/>
      <c r="UWL54" s="1165"/>
      <c r="UWM54" s="1165"/>
      <c r="UWN54" s="1165"/>
      <c r="UWO54" s="1165"/>
      <c r="UWP54" s="1165"/>
      <c r="UWQ54" s="1165"/>
      <c r="UWR54" s="1165"/>
      <c r="UWS54" s="1165"/>
      <c r="UWT54" s="1165"/>
      <c r="UWU54" s="1165"/>
      <c r="UWV54" s="1165"/>
      <c r="UWW54" s="1165"/>
      <c r="UWX54" s="1165"/>
      <c r="UWY54" s="1165"/>
      <c r="UWZ54" s="1165"/>
      <c r="UXA54" s="1165"/>
      <c r="UXB54" s="1165"/>
      <c r="UXC54" s="1165"/>
      <c r="UXD54" s="1165"/>
      <c r="UXE54" s="1165"/>
      <c r="UXF54" s="1165"/>
      <c r="UXG54" s="1165"/>
      <c r="UXH54" s="1165"/>
      <c r="UXI54" s="1165"/>
      <c r="UXJ54" s="1165"/>
      <c r="UXK54" s="1165"/>
      <c r="UXL54" s="1165"/>
      <c r="UXM54" s="1165"/>
      <c r="UXN54" s="1165"/>
      <c r="UXO54" s="1165"/>
      <c r="UXP54" s="1165"/>
      <c r="UXQ54" s="1165"/>
      <c r="UXR54" s="1165"/>
      <c r="UXS54" s="1165"/>
      <c r="UXT54" s="1165"/>
      <c r="UXU54" s="1165"/>
      <c r="UXV54" s="1165"/>
      <c r="UXW54" s="1165"/>
      <c r="UXX54" s="1165"/>
      <c r="UXY54" s="1165"/>
      <c r="UXZ54" s="1165"/>
      <c r="UYA54" s="1165"/>
      <c r="UYB54" s="1165"/>
      <c r="UYC54" s="1165"/>
      <c r="UYD54" s="1165"/>
      <c r="UYE54" s="1165"/>
      <c r="UYF54" s="1165"/>
      <c r="UYG54" s="1165"/>
      <c r="UYH54" s="1165"/>
      <c r="UYI54" s="1165"/>
      <c r="UYJ54" s="1165"/>
      <c r="UYK54" s="1165"/>
      <c r="UYL54" s="1165"/>
      <c r="UYM54" s="1165"/>
      <c r="UYN54" s="1165"/>
      <c r="UYO54" s="1165"/>
      <c r="UYP54" s="1165"/>
      <c r="UYQ54" s="1165"/>
      <c r="UYR54" s="1165"/>
      <c r="UYS54" s="1165"/>
      <c r="UYT54" s="1165"/>
      <c r="UYU54" s="1165"/>
      <c r="UYV54" s="1165"/>
      <c r="UYW54" s="1165"/>
      <c r="UYX54" s="1165"/>
      <c r="UYY54" s="1165"/>
      <c r="UYZ54" s="1165"/>
      <c r="UZA54" s="1165"/>
      <c r="UZB54" s="1165"/>
      <c r="UZC54" s="1165"/>
      <c r="UZD54" s="1165"/>
      <c r="UZE54" s="1165"/>
      <c r="UZF54" s="1165"/>
      <c r="UZG54" s="1165"/>
      <c r="UZH54" s="1165"/>
      <c r="UZI54" s="1165"/>
      <c r="UZJ54" s="1165"/>
      <c r="UZK54" s="1165"/>
      <c r="UZL54" s="1165"/>
      <c r="UZM54" s="1165"/>
      <c r="UZN54" s="1165"/>
      <c r="UZO54" s="1165"/>
      <c r="UZP54" s="1165"/>
      <c r="UZQ54" s="1165"/>
      <c r="UZR54" s="1165"/>
      <c r="UZS54" s="1165"/>
      <c r="UZT54" s="1165"/>
      <c r="UZU54" s="1165"/>
      <c r="UZV54" s="1165"/>
      <c r="UZW54" s="1165"/>
      <c r="UZX54" s="1165"/>
      <c r="UZY54" s="1165"/>
      <c r="UZZ54" s="1165"/>
      <c r="VAA54" s="1165"/>
      <c r="VAB54" s="1165"/>
      <c r="VAC54" s="1165"/>
      <c r="VAD54" s="1165"/>
      <c r="VAE54" s="1165"/>
      <c r="VAF54" s="1165"/>
      <c r="VAG54" s="1165"/>
      <c r="VAH54" s="1165"/>
      <c r="VAI54" s="1165"/>
      <c r="VAJ54" s="1165"/>
      <c r="VAK54" s="1165"/>
      <c r="VAL54" s="1165"/>
      <c r="VAM54" s="1165"/>
      <c r="VAN54" s="1165"/>
      <c r="VAO54" s="1165"/>
      <c r="VAP54" s="1165"/>
      <c r="VAQ54" s="1165"/>
      <c r="VAR54" s="1165"/>
      <c r="VAS54" s="1165"/>
      <c r="VAT54" s="1165"/>
      <c r="VAU54" s="1165"/>
      <c r="VAV54" s="1165"/>
      <c r="VAW54" s="1165"/>
      <c r="VAX54" s="1165"/>
      <c r="VAY54" s="1165"/>
      <c r="VAZ54" s="1165"/>
      <c r="VBA54" s="1165"/>
      <c r="VBB54" s="1165"/>
      <c r="VBC54" s="1165"/>
      <c r="VBD54" s="1165"/>
      <c r="VBE54" s="1165"/>
      <c r="VBF54" s="1165"/>
      <c r="VBG54" s="1165"/>
      <c r="VBH54" s="1165"/>
      <c r="VBI54" s="1165"/>
      <c r="VBJ54" s="1165"/>
      <c r="VBK54" s="1165"/>
      <c r="VBL54" s="1165"/>
      <c r="VBM54" s="1165"/>
      <c r="VBN54" s="1165"/>
      <c r="VBO54" s="1165"/>
      <c r="VBP54" s="1165"/>
      <c r="VBQ54" s="1165"/>
      <c r="VBR54" s="1165"/>
      <c r="VBS54" s="1165"/>
      <c r="VBT54" s="1165"/>
      <c r="VBU54" s="1165"/>
      <c r="VBV54" s="1165"/>
      <c r="VBW54" s="1165"/>
      <c r="VBX54" s="1165"/>
      <c r="VBY54" s="1165"/>
      <c r="VBZ54" s="1165"/>
      <c r="VCA54" s="1165"/>
      <c r="VCB54" s="1165"/>
      <c r="VCC54" s="1165"/>
      <c r="VCD54" s="1165"/>
      <c r="VCE54" s="1165"/>
      <c r="VCF54" s="1165"/>
      <c r="VCG54" s="1165"/>
      <c r="VCH54" s="1165"/>
      <c r="VCI54" s="1165"/>
      <c r="VCJ54" s="1165"/>
      <c r="VCK54" s="1165"/>
      <c r="VCL54" s="1165"/>
      <c r="VCM54" s="1165"/>
      <c r="VCN54" s="1165"/>
      <c r="VCO54" s="1165"/>
      <c r="VCP54" s="1165"/>
      <c r="VCQ54" s="1165"/>
      <c r="VCR54" s="1165"/>
      <c r="VCS54" s="1165"/>
      <c r="VCT54" s="1165"/>
      <c r="VCU54" s="1165"/>
      <c r="VCV54" s="1165"/>
      <c r="VCW54" s="1165"/>
      <c r="VCX54" s="1165"/>
      <c r="VCY54" s="1165"/>
      <c r="VCZ54" s="1165"/>
      <c r="VDA54" s="1165"/>
      <c r="VDB54" s="1165"/>
      <c r="VDC54" s="1165"/>
      <c r="VDD54" s="1165"/>
      <c r="VDE54" s="1165"/>
      <c r="VDF54" s="1165"/>
      <c r="VDG54" s="1165"/>
      <c r="VDH54" s="1165"/>
      <c r="VDI54" s="1165"/>
      <c r="VDJ54" s="1165"/>
      <c r="VDK54" s="1165"/>
      <c r="VDL54" s="1165"/>
      <c r="VDM54" s="1165"/>
      <c r="VDN54" s="1165"/>
      <c r="VDO54" s="1165"/>
      <c r="VDP54" s="1165"/>
      <c r="VDQ54" s="1165"/>
      <c r="VDR54" s="1165"/>
      <c r="VDS54" s="1165"/>
      <c r="VDT54" s="1165"/>
      <c r="VDU54" s="1165"/>
      <c r="VDV54" s="1165"/>
      <c r="VDW54" s="1165"/>
      <c r="VDX54" s="1165"/>
      <c r="VDY54" s="1165"/>
      <c r="VDZ54" s="1165"/>
      <c r="VEA54" s="1165"/>
      <c r="VEB54" s="1165"/>
      <c r="VEC54" s="1165"/>
      <c r="VED54" s="1165"/>
      <c r="VEE54" s="1165"/>
      <c r="VEF54" s="1165"/>
      <c r="VEG54" s="1165"/>
      <c r="VEH54" s="1165"/>
      <c r="VEI54" s="1165"/>
      <c r="VEJ54" s="1165"/>
      <c r="VEK54" s="1165"/>
      <c r="VEL54" s="1165"/>
      <c r="VEM54" s="1165"/>
      <c r="VEN54" s="1165"/>
      <c r="VEO54" s="1165"/>
      <c r="VEP54" s="1165"/>
      <c r="VEQ54" s="1165"/>
      <c r="VER54" s="1165"/>
      <c r="VES54" s="1165"/>
      <c r="VET54" s="1165"/>
      <c r="VEU54" s="1165"/>
      <c r="VEV54" s="1165"/>
      <c r="VEW54" s="1165"/>
      <c r="VEX54" s="1165"/>
      <c r="VEY54" s="1165"/>
      <c r="VEZ54" s="1165"/>
      <c r="VFA54" s="1165"/>
      <c r="VFB54" s="1165"/>
      <c r="VFC54" s="1165"/>
      <c r="VFD54" s="1165"/>
      <c r="VFE54" s="1165"/>
      <c r="VFF54" s="1165"/>
      <c r="VFG54" s="1165"/>
      <c r="VFH54" s="1165"/>
      <c r="VFI54" s="1165"/>
      <c r="VFJ54" s="1165"/>
      <c r="VFK54" s="1165"/>
      <c r="VFL54" s="1165"/>
      <c r="VFM54" s="1165"/>
      <c r="VFN54" s="1165"/>
      <c r="VFO54" s="1165"/>
      <c r="VFP54" s="1165"/>
      <c r="VFQ54" s="1165"/>
      <c r="VFR54" s="1165"/>
      <c r="VFS54" s="1165"/>
      <c r="VFT54" s="1165"/>
      <c r="VFU54" s="1165"/>
      <c r="VFV54" s="1165"/>
      <c r="VFW54" s="1165"/>
      <c r="VFX54" s="1165"/>
      <c r="VFY54" s="1165"/>
      <c r="VFZ54" s="1165"/>
      <c r="VGA54" s="1165"/>
      <c r="VGB54" s="1165"/>
      <c r="VGC54" s="1165"/>
      <c r="VGD54" s="1165"/>
      <c r="VGE54" s="1165"/>
      <c r="VGF54" s="1165"/>
      <c r="VGG54" s="1165"/>
      <c r="VGH54" s="1165"/>
      <c r="VGI54" s="1165"/>
      <c r="VGJ54" s="1165"/>
      <c r="VGK54" s="1165"/>
      <c r="VGL54" s="1165"/>
      <c r="VGM54" s="1165"/>
      <c r="VGN54" s="1165"/>
      <c r="VGO54" s="1165"/>
      <c r="VGP54" s="1165"/>
      <c r="VGQ54" s="1165"/>
      <c r="VGR54" s="1165"/>
      <c r="VGS54" s="1165"/>
      <c r="VGT54" s="1165"/>
      <c r="VGU54" s="1165"/>
      <c r="VGV54" s="1165"/>
      <c r="VGW54" s="1165"/>
      <c r="VGX54" s="1165"/>
      <c r="VGY54" s="1165"/>
      <c r="VGZ54" s="1165"/>
      <c r="VHA54" s="1165"/>
      <c r="VHB54" s="1165"/>
      <c r="VHC54" s="1165"/>
      <c r="VHD54" s="1165"/>
      <c r="VHE54" s="1165"/>
      <c r="VHF54" s="1165"/>
      <c r="VHG54" s="1165"/>
      <c r="VHH54" s="1165"/>
      <c r="VHI54" s="1165"/>
      <c r="VHJ54" s="1165"/>
      <c r="VHK54" s="1165"/>
      <c r="VHL54" s="1165"/>
      <c r="VHM54" s="1165"/>
      <c r="VHN54" s="1165"/>
      <c r="VHO54" s="1165"/>
      <c r="VHP54" s="1165"/>
      <c r="VHQ54" s="1165"/>
      <c r="VHR54" s="1165"/>
      <c r="VHS54" s="1165"/>
      <c r="VHT54" s="1165"/>
      <c r="VHU54" s="1165"/>
      <c r="VHV54" s="1165"/>
      <c r="VHW54" s="1165"/>
      <c r="VHX54" s="1165"/>
      <c r="VHY54" s="1165"/>
      <c r="VHZ54" s="1165"/>
      <c r="VIA54" s="1165"/>
      <c r="VIB54" s="1165"/>
      <c r="VIC54" s="1165"/>
      <c r="VID54" s="1165"/>
      <c r="VIE54" s="1165"/>
      <c r="VIF54" s="1165"/>
      <c r="VIG54" s="1165"/>
      <c r="VIH54" s="1165"/>
      <c r="VII54" s="1165"/>
      <c r="VIJ54" s="1165"/>
      <c r="VIK54" s="1165"/>
      <c r="VIL54" s="1165"/>
      <c r="VIM54" s="1165"/>
      <c r="VIN54" s="1165"/>
      <c r="VIO54" s="1165"/>
      <c r="VIP54" s="1165"/>
      <c r="VIQ54" s="1165"/>
      <c r="VIR54" s="1165"/>
      <c r="VIS54" s="1165"/>
      <c r="VIT54" s="1165"/>
      <c r="VIU54" s="1165"/>
      <c r="VIV54" s="1165"/>
      <c r="VIW54" s="1165"/>
      <c r="VIX54" s="1165"/>
      <c r="VIY54" s="1165"/>
      <c r="VIZ54" s="1165"/>
      <c r="VJA54" s="1165"/>
      <c r="VJB54" s="1165"/>
      <c r="VJC54" s="1165"/>
      <c r="VJD54" s="1165"/>
      <c r="VJE54" s="1165"/>
      <c r="VJF54" s="1165"/>
      <c r="VJG54" s="1165"/>
      <c r="VJH54" s="1165"/>
      <c r="VJI54" s="1165"/>
      <c r="VJJ54" s="1165"/>
      <c r="VJK54" s="1165"/>
      <c r="VJL54" s="1165"/>
      <c r="VJM54" s="1165"/>
      <c r="VJN54" s="1165"/>
      <c r="VJO54" s="1165"/>
      <c r="VJP54" s="1165"/>
      <c r="VJQ54" s="1165"/>
      <c r="VJR54" s="1165"/>
      <c r="VJS54" s="1165"/>
      <c r="VJT54" s="1165"/>
      <c r="VJU54" s="1165"/>
      <c r="VJV54" s="1165"/>
      <c r="VJW54" s="1165"/>
      <c r="VJX54" s="1165"/>
      <c r="VJY54" s="1165"/>
      <c r="VJZ54" s="1165"/>
      <c r="VKA54" s="1165"/>
      <c r="VKB54" s="1165"/>
      <c r="VKC54" s="1165"/>
      <c r="VKD54" s="1165"/>
      <c r="VKE54" s="1165"/>
      <c r="VKF54" s="1165"/>
      <c r="VKG54" s="1165"/>
      <c r="VKH54" s="1165"/>
      <c r="VKI54" s="1165"/>
      <c r="VKJ54" s="1165"/>
      <c r="VKK54" s="1165"/>
      <c r="VKL54" s="1165"/>
      <c r="VKM54" s="1165"/>
      <c r="VKN54" s="1165"/>
      <c r="VKO54" s="1165"/>
      <c r="VKP54" s="1165"/>
      <c r="VKQ54" s="1165"/>
      <c r="VKR54" s="1165"/>
      <c r="VKS54" s="1165"/>
      <c r="VKT54" s="1165"/>
      <c r="VKU54" s="1165"/>
      <c r="VKV54" s="1165"/>
      <c r="VKW54" s="1165"/>
      <c r="VKX54" s="1165"/>
      <c r="VKY54" s="1165"/>
      <c r="VKZ54" s="1165"/>
      <c r="VLA54" s="1165"/>
      <c r="VLB54" s="1165"/>
      <c r="VLC54" s="1165"/>
      <c r="VLD54" s="1165"/>
      <c r="VLE54" s="1165"/>
      <c r="VLF54" s="1165"/>
      <c r="VLG54" s="1165"/>
      <c r="VLH54" s="1165"/>
      <c r="VLI54" s="1165"/>
      <c r="VLJ54" s="1165"/>
      <c r="VLK54" s="1165"/>
      <c r="VLL54" s="1165"/>
      <c r="VLM54" s="1165"/>
      <c r="VLN54" s="1165"/>
      <c r="VLO54" s="1165"/>
      <c r="VLP54" s="1165"/>
      <c r="VLQ54" s="1165"/>
      <c r="VLR54" s="1165"/>
      <c r="VLS54" s="1165"/>
      <c r="VLT54" s="1165"/>
      <c r="VLU54" s="1165"/>
      <c r="VLV54" s="1165"/>
      <c r="VLW54" s="1165"/>
      <c r="VLX54" s="1165"/>
      <c r="VLY54" s="1165"/>
      <c r="VLZ54" s="1165"/>
      <c r="VMA54" s="1165"/>
      <c r="VMB54" s="1165"/>
      <c r="VMC54" s="1165"/>
      <c r="VMD54" s="1165"/>
      <c r="VME54" s="1165"/>
      <c r="VMF54" s="1165"/>
      <c r="VMG54" s="1165"/>
      <c r="VMH54" s="1165"/>
      <c r="VMI54" s="1165"/>
      <c r="VMJ54" s="1165"/>
      <c r="VMK54" s="1165"/>
      <c r="VML54" s="1165"/>
      <c r="VMM54" s="1165"/>
      <c r="VMN54" s="1165"/>
      <c r="VMO54" s="1165"/>
      <c r="VMP54" s="1165"/>
      <c r="VMQ54" s="1165"/>
      <c r="VMR54" s="1165"/>
      <c r="VMS54" s="1165"/>
      <c r="VMT54" s="1165"/>
      <c r="VMU54" s="1165"/>
      <c r="VMV54" s="1165"/>
      <c r="VMW54" s="1165"/>
      <c r="VMX54" s="1165"/>
      <c r="VMY54" s="1165"/>
      <c r="VMZ54" s="1165"/>
      <c r="VNA54" s="1165"/>
      <c r="VNB54" s="1165"/>
      <c r="VNC54" s="1165"/>
      <c r="VND54" s="1165"/>
      <c r="VNE54" s="1165"/>
      <c r="VNF54" s="1165"/>
      <c r="VNG54" s="1165"/>
      <c r="VNH54" s="1165"/>
      <c r="VNI54" s="1165"/>
      <c r="VNJ54" s="1165"/>
      <c r="VNK54" s="1165"/>
      <c r="VNL54" s="1165"/>
      <c r="VNM54" s="1165"/>
      <c r="VNN54" s="1165"/>
      <c r="VNO54" s="1165"/>
      <c r="VNP54" s="1165"/>
      <c r="VNQ54" s="1165"/>
      <c r="VNR54" s="1165"/>
      <c r="VNS54" s="1165"/>
      <c r="VNT54" s="1165"/>
      <c r="VNU54" s="1165"/>
      <c r="VNV54" s="1165"/>
      <c r="VNW54" s="1165"/>
      <c r="VNX54" s="1165"/>
      <c r="VNY54" s="1165"/>
      <c r="VNZ54" s="1165"/>
      <c r="VOA54" s="1165"/>
      <c r="VOB54" s="1165"/>
      <c r="VOC54" s="1165"/>
      <c r="VOD54" s="1165"/>
      <c r="VOE54" s="1165"/>
      <c r="VOF54" s="1165"/>
      <c r="VOG54" s="1165"/>
      <c r="VOH54" s="1165"/>
      <c r="VOI54" s="1165"/>
      <c r="VOJ54" s="1165"/>
      <c r="VOK54" s="1165"/>
      <c r="VOL54" s="1165"/>
      <c r="VOM54" s="1165"/>
      <c r="VON54" s="1165"/>
      <c r="VOO54" s="1165"/>
      <c r="VOP54" s="1165"/>
      <c r="VOQ54" s="1165"/>
      <c r="VOR54" s="1165"/>
      <c r="VOS54" s="1165"/>
      <c r="VOT54" s="1165"/>
      <c r="VOU54" s="1165"/>
      <c r="VOV54" s="1165"/>
      <c r="VOW54" s="1165"/>
      <c r="VOX54" s="1165"/>
      <c r="VOY54" s="1165"/>
      <c r="VOZ54" s="1165"/>
      <c r="VPA54" s="1165"/>
      <c r="VPB54" s="1165"/>
      <c r="VPC54" s="1165"/>
      <c r="VPD54" s="1165"/>
      <c r="VPE54" s="1165"/>
      <c r="VPF54" s="1165"/>
      <c r="VPG54" s="1165"/>
      <c r="VPH54" s="1165"/>
      <c r="VPI54" s="1165"/>
      <c r="VPJ54" s="1165"/>
      <c r="VPK54" s="1165"/>
      <c r="VPL54" s="1165"/>
      <c r="VPM54" s="1165"/>
      <c r="VPN54" s="1165"/>
      <c r="VPO54" s="1165"/>
      <c r="VPP54" s="1165"/>
      <c r="VPQ54" s="1165"/>
      <c r="VPR54" s="1165"/>
      <c r="VPS54" s="1165"/>
      <c r="VPT54" s="1165"/>
      <c r="VPU54" s="1165"/>
      <c r="VPV54" s="1165"/>
      <c r="VPW54" s="1165"/>
      <c r="VPX54" s="1165"/>
      <c r="VPY54" s="1165"/>
      <c r="VPZ54" s="1165"/>
      <c r="VQA54" s="1165"/>
      <c r="VQB54" s="1165"/>
      <c r="VQC54" s="1165"/>
      <c r="VQD54" s="1165"/>
      <c r="VQE54" s="1165"/>
      <c r="VQF54" s="1165"/>
      <c r="VQG54" s="1165"/>
      <c r="VQH54" s="1165"/>
      <c r="VQI54" s="1165"/>
      <c r="VQJ54" s="1165"/>
      <c r="VQK54" s="1165"/>
      <c r="VQL54" s="1165"/>
      <c r="VQM54" s="1165"/>
      <c r="VQN54" s="1165"/>
      <c r="VQO54" s="1165"/>
      <c r="VQP54" s="1165"/>
      <c r="VQQ54" s="1165"/>
      <c r="VQR54" s="1165"/>
      <c r="VQS54" s="1165"/>
      <c r="VQT54" s="1165"/>
      <c r="VQU54" s="1165"/>
      <c r="VQV54" s="1165"/>
      <c r="VQW54" s="1165"/>
      <c r="VQX54" s="1165"/>
      <c r="VQY54" s="1165"/>
      <c r="VQZ54" s="1165"/>
      <c r="VRA54" s="1165"/>
      <c r="VRB54" s="1165"/>
      <c r="VRC54" s="1165"/>
      <c r="VRD54" s="1165"/>
      <c r="VRE54" s="1165"/>
      <c r="VRF54" s="1165"/>
      <c r="VRG54" s="1165"/>
      <c r="VRH54" s="1165"/>
      <c r="VRI54" s="1165"/>
      <c r="VRJ54" s="1165"/>
      <c r="VRK54" s="1165"/>
      <c r="VRL54" s="1165"/>
      <c r="VRM54" s="1165"/>
      <c r="VRN54" s="1165"/>
      <c r="VRO54" s="1165"/>
      <c r="VRP54" s="1165"/>
      <c r="VRQ54" s="1165"/>
      <c r="VRR54" s="1165"/>
      <c r="VRS54" s="1165"/>
      <c r="VRT54" s="1165"/>
      <c r="VRU54" s="1165"/>
      <c r="VRV54" s="1165"/>
      <c r="VRW54" s="1165"/>
      <c r="VRX54" s="1165"/>
      <c r="VRY54" s="1165"/>
      <c r="VRZ54" s="1165"/>
      <c r="VSA54" s="1165"/>
      <c r="VSB54" s="1165"/>
      <c r="VSC54" s="1165"/>
      <c r="VSD54" s="1165"/>
      <c r="VSE54" s="1165"/>
      <c r="VSF54" s="1165"/>
      <c r="VSG54" s="1165"/>
      <c r="VSH54" s="1165"/>
      <c r="VSI54" s="1165"/>
      <c r="VSJ54" s="1165"/>
      <c r="VSK54" s="1165"/>
      <c r="VSL54" s="1165"/>
      <c r="VSM54" s="1165"/>
      <c r="VSN54" s="1165"/>
      <c r="VSO54" s="1165"/>
      <c r="VSP54" s="1165"/>
      <c r="VSQ54" s="1165"/>
      <c r="VSR54" s="1165"/>
      <c r="VSS54" s="1165"/>
      <c r="VST54" s="1165"/>
      <c r="VSU54" s="1165"/>
      <c r="VSV54" s="1165"/>
      <c r="VSW54" s="1165"/>
      <c r="VSX54" s="1165"/>
      <c r="VSY54" s="1165"/>
      <c r="VSZ54" s="1165"/>
      <c r="VTA54" s="1165"/>
      <c r="VTB54" s="1165"/>
      <c r="VTC54" s="1165"/>
      <c r="VTD54" s="1165"/>
      <c r="VTE54" s="1165"/>
      <c r="VTF54" s="1165"/>
      <c r="VTG54" s="1165"/>
      <c r="VTH54" s="1165"/>
      <c r="VTI54" s="1165"/>
      <c r="VTJ54" s="1165"/>
      <c r="VTK54" s="1165"/>
      <c r="VTL54" s="1165"/>
      <c r="VTM54" s="1165"/>
      <c r="VTN54" s="1165"/>
      <c r="VTO54" s="1165"/>
      <c r="VTP54" s="1165"/>
      <c r="VTQ54" s="1165"/>
      <c r="VTR54" s="1165"/>
      <c r="VTS54" s="1165"/>
      <c r="VTT54" s="1165"/>
      <c r="VTU54" s="1165"/>
      <c r="VTV54" s="1165"/>
      <c r="VTW54" s="1165"/>
      <c r="VTX54" s="1165"/>
      <c r="VTY54" s="1165"/>
      <c r="VTZ54" s="1165"/>
      <c r="VUA54" s="1165"/>
      <c r="VUB54" s="1165"/>
      <c r="VUC54" s="1165"/>
      <c r="VUD54" s="1165"/>
      <c r="VUE54" s="1165"/>
      <c r="VUF54" s="1165"/>
      <c r="VUG54" s="1165"/>
      <c r="VUH54" s="1165"/>
      <c r="VUI54" s="1165"/>
      <c r="VUJ54" s="1165"/>
      <c r="VUK54" s="1165"/>
      <c r="VUL54" s="1165"/>
      <c r="VUM54" s="1165"/>
      <c r="VUN54" s="1165"/>
      <c r="VUO54" s="1165"/>
      <c r="VUP54" s="1165"/>
      <c r="VUQ54" s="1165"/>
      <c r="VUR54" s="1165"/>
      <c r="VUS54" s="1165"/>
      <c r="VUT54" s="1165"/>
      <c r="VUU54" s="1165"/>
      <c r="VUV54" s="1165"/>
      <c r="VUW54" s="1165"/>
      <c r="VUX54" s="1165"/>
      <c r="VUY54" s="1165"/>
      <c r="VUZ54" s="1165"/>
      <c r="VVA54" s="1165"/>
      <c r="VVB54" s="1165"/>
      <c r="VVC54" s="1165"/>
      <c r="VVD54" s="1165"/>
      <c r="VVE54" s="1165"/>
      <c r="VVF54" s="1165"/>
      <c r="VVG54" s="1165"/>
      <c r="VVH54" s="1165"/>
      <c r="VVI54" s="1165"/>
      <c r="VVJ54" s="1165"/>
      <c r="VVK54" s="1165"/>
      <c r="VVL54" s="1165"/>
      <c r="VVM54" s="1165"/>
      <c r="VVN54" s="1165"/>
      <c r="VVO54" s="1165"/>
      <c r="VVP54" s="1165"/>
      <c r="VVQ54" s="1165"/>
      <c r="VVR54" s="1165"/>
      <c r="VVS54" s="1165"/>
      <c r="VVT54" s="1165"/>
      <c r="VVU54" s="1165"/>
      <c r="VVV54" s="1165"/>
      <c r="VVW54" s="1165"/>
      <c r="VVX54" s="1165"/>
      <c r="VVY54" s="1165"/>
      <c r="VVZ54" s="1165"/>
      <c r="VWA54" s="1165"/>
      <c r="VWB54" s="1165"/>
      <c r="VWC54" s="1165"/>
      <c r="VWD54" s="1165"/>
      <c r="VWE54" s="1165"/>
      <c r="VWF54" s="1165"/>
      <c r="VWG54" s="1165"/>
      <c r="VWH54" s="1165"/>
      <c r="VWI54" s="1165"/>
      <c r="VWJ54" s="1165"/>
      <c r="VWK54" s="1165"/>
      <c r="VWL54" s="1165"/>
      <c r="VWM54" s="1165"/>
      <c r="VWN54" s="1165"/>
      <c r="VWO54" s="1165"/>
      <c r="VWP54" s="1165"/>
      <c r="VWQ54" s="1165"/>
      <c r="VWR54" s="1165"/>
      <c r="VWS54" s="1165"/>
      <c r="VWT54" s="1165"/>
      <c r="VWU54" s="1165"/>
      <c r="VWV54" s="1165"/>
      <c r="VWW54" s="1165"/>
      <c r="VWX54" s="1165"/>
      <c r="VWY54" s="1165"/>
      <c r="VWZ54" s="1165"/>
      <c r="VXA54" s="1165"/>
      <c r="VXB54" s="1165"/>
      <c r="VXC54" s="1165"/>
      <c r="VXD54" s="1165"/>
      <c r="VXE54" s="1165"/>
      <c r="VXF54" s="1165"/>
      <c r="VXG54" s="1165"/>
      <c r="VXH54" s="1165"/>
      <c r="VXI54" s="1165"/>
      <c r="VXJ54" s="1165"/>
      <c r="VXK54" s="1165"/>
      <c r="VXL54" s="1165"/>
      <c r="VXM54" s="1165"/>
      <c r="VXN54" s="1165"/>
      <c r="VXO54" s="1165"/>
      <c r="VXP54" s="1165"/>
      <c r="VXQ54" s="1165"/>
      <c r="VXR54" s="1165"/>
      <c r="VXS54" s="1165"/>
      <c r="VXT54" s="1165"/>
      <c r="VXU54" s="1165"/>
      <c r="VXV54" s="1165"/>
      <c r="VXW54" s="1165"/>
      <c r="VXX54" s="1165"/>
      <c r="VXY54" s="1165"/>
      <c r="VXZ54" s="1165"/>
      <c r="VYA54" s="1165"/>
      <c r="VYB54" s="1165"/>
      <c r="VYC54" s="1165"/>
      <c r="VYD54" s="1165"/>
      <c r="VYE54" s="1165"/>
      <c r="VYF54" s="1165"/>
      <c r="VYG54" s="1165"/>
      <c r="VYH54" s="1165"/>
      <c r="VYI54" s="1165"/>
      <c r="VYJ54" s="1165"/>
      <c r="VYK54" s="1165"/>
      <c r="VYL54" s="1165"/>
      <c r="VYM54" s="1165"/>
      <c r="VYN54" s="1165"/>
      <c r="VYO54" s="1165"/>
      <c r="VYP54" s="1165"/>
      <c r="VYQ54" s="1165"/>
      <c r="VYR54" s="1165"/>
      <c r="VYS54" s="1165"/>
      <c r="VYT54" s="1165"/>
      <c r="VYU54" s="1165"/>
      <c r="VYV54" s="1165"/>
      <c r="VYW54" s="1165"/>
      <c r="VYX54" s="1165"/>
      <c r="VYY54" s="1165"/>
      <c r="VYZ54" s="1165"/>
      <c r="VZA54" s="1165"/>
      <c r="VZB54" s="1165"/>
      <c r="VZC54" s="1165"/>
      <c r="VZD54" s="1165"/>
      <c r="VZE54" s="1165"/>
      <c r="VZF54" s="1165"/>
      <c r="VZG54" s="1165"/>
      <c r="VZH54" s="1165"/>
      <c r="VZI54" s="1165"/>
      <c r="VZJ54" s="1165"/>
      <c r="VZK54" s="1165"/>
      <c r="VZL54" s="1165"/>
      <c r="VZM54" s="1165"/>
      <c r="VZN54" s="1165"/>
      <c r="VZO54" s="1165"/>
      <c r="VZP54" s="1165"/>
      <c r="VZQ54" s="1165"/>
      <c r="VZR54" s="1165"/>
      <c r="VZS54" s="1165"/>
      <c r="VZT54" s="1165"/>
      <c r="VZU54" s="1165"/>
      <c r="VZV54" s="1165"/>
      <c r="VZW54" s="1165"/>
      <c r="VZX54" s="1165"/>
      <c r="VZY54" s="1165"/>
      <c r="VZZ54" s="1165"/>
      <c r="WAA54" s="1165"/>
      <c r="WAB54" s="1165"/>
      <c r="WAC54" s="1165"/>
      <c r="WAD54" s="1165"/>
      <c r="WAE54" s="1165"/>
      <c r="WAF54" s="1165"/>
      <c r="WAG54" s="1165"/>
      <c r="WAH54" s="1165"/>
      <c r="WAI54" s="1165"/>
      <c r="WAJ54" s="1165"/>
      <c r="WAK54" s="1165"/>
      <c r="WAL54" s="1165"/>
      <c r="WAM54" s="1165"/>
      <c r="WAN54" s="1165"/>
      <c r="WAO54" s="1165"/>
      <c r="WAP54" s="1165"/>
      <c r="WAQ54" s="1165"/>
      <c r="WAR54" s="1165"/>
      <c r="WAS54" s="1165"/>
      <c r="WAT54" s="1165"/>
      <c r="WAU54" s="1165"/>
      <c r="WAV54" s="1165"/>
      <c r="WAW54" s="1165"/>
      <c r="WAX54" s="1165"/>
      <c r="WAY54" s="1165"/>
      <c r="WAZ54" s="1165"/>
      <c r="WBA54" s="1165"/>
      <c r="WBB54" s="1165"/>
      <c r="WBC54" s="1165"/>
      <c r="WBD54" s="1165"/>
      <c r="WBE54" s="1165"/>
      <c r="WBF54" s="1165"/>
      <c r="WBG54" s="1165"/>
      <c r="WBH54" s="1165"/>
      <c r="WBI54" s="1165"/>
      <c r="WBJ54" s="1165"/>
      <c r="WBK54" s="1165"/>
      <c r="WBL54" s="1165"/>
      <c r="WBM54" s="1165"/>
      <c r="WBN54" s="1165"/>
      <c r="WBO54" s="1165"/>
      <c r="WBP54" s="1165"/>
      <c r="WBQ54" s="1165"/>
      <c r="WBR54" s="1165"/>
      <c r="WBS54" s="1165"/>
      <c r="WBT54" s="1165"/>
      <c r="WBU54" s="1165"/>
      <c r="WBV54" s="1165"/>
      <c r="WBW54" s="1165"/>
      <c r="WBX54" s="1165"/>
      <c r="WBY54" s="1165"/>
      <c r="WBZ54" s="1165"/>
      <c r="WCA54" s="1165"/>
      <c r="WCB54" s="1165"/>
      <c r="WCC54" s="1165"/>
      <c r="WCD54" s="1165"/>
      <c r="WCE54" s="1165"/>
      <c r="WCF54" s="1165"/>
      <c r="WCG54" s="1165"/>
      <c r="WCH54" s="1165"/>
      <c r="WCI54" s="1165"/>
      <c r="WCJ54" s="1165"/>
      <c r="WCK54" s="1165"/>
      <c r="WCL54" s="1165"/>
      <c r="WCM54" s="1165"/>
      <c r="WCN54" s="1165"/>
      <c r="WCO54" s="1165"/>
      <c r="WCP54" s="1165"/>
      <c r="WCQ54" s="1165"/>
      <c r="WCR54" s="1165"/>
      <c r="WCS54" s="1165"/>
      <c r="WCT54" s="1165"/>
      <c r="WCU54" s="1165"/>
      <c r="WCV54" s="1165"/>
      <c r="WCW54" s="1165"/>
      <c r="WCX54" s="1165"/>
      <c r="WCY54" s="1165"/>
      <c r="WCZ54" s="1165"/>
      <c r="WDA54" s="1165"/>
      <c r="WDB54" s="1165"/>
      <c r="WDC54" s="1165"/>
      <c r="WDD54" s="1165"/>
      <c r="WDE54" s="1165"/>
      <c r="WDF54" s="1165"/>
      <c r="WDG54" s="1165"/>
      <c r="WDH54" s="1165"/>
      <c r="WDI54" s="1165"/>
      <c r="WDJ54" s="1165"/>
      <c r="WDK54" s="1165"/>
      <c r="WDL54" s="1165"/>
      <c r="WDM54" s="1165"/>
      <c r="WDN54" s="1165"/>
      <c r="WDO54" s="1165"/>
      <c r="WDP54" s="1165"/>
      <c r="WDQ54" s="1165"/>
      <c r="WDR54" s="1165"/>
      <c r="WDS54" s="1165"/>
      <c r="WDT54" s="1165"/>
      <c r="WDU54" s="1165"/>
      <c r="WDV54" s="1165"/>
      <c r="WDW54" s="1165"/>
      <c r="WDX54" s="1165"/>
      <c r="WDY54" s="1165"/>
      <c r="WDZ54" s="1165"/>
      <c r="WEA54" s="1165"/>
      <c r="WEB54" s="1165"/>
      <c r="WEC54" s="1165"/>
      <c r="WED54" s="1165"/>
      <c r="WEE54" s="1165"/>
      <c r="WEF54" s="1165"/>
      <c r="WEG54" s="1165"/>
      <c r="WEH54" s="1165"/>
      <c r="WEI54" s="1165"/>
      <c r="WEJ54" s="1165"/>
      <c r="WEK54" s="1165"/>
      <c r="WEL54" s="1165"/>
      <c r="WEM54" s="1165"/>
      <c r="WEN54" s="1165"/>
      <c r="WEO54" s="1165"/>
      <c r="WEP54" s="1165"/>
      <c r="WEQ54" s="1165"/>
      <c r="WER54" s="1165"/>
      <c r="WES54" s="1165"/>
      <c r="WET54" s="1165"/>
      <c r="WEU54" s="1165"/>
      <c r="WEV54" s="1165"/>
      <c r="WEW54" s="1165"/>
      <c r="WEX54" s="1165"/>
      <c r="WEY54" s="1165"/>
      <c r="WEZ54" s="1165"/>
      <c r="WFA54" s="1165"/>
      <c r="WFB54" s="1165"/>
      <c r="WFC54" s="1165"/>
      <c r="WFD54" s="1165"/>
      <c r="WFE54" s="1165"/>
      <c r="WFF54" s="1165"/>
      <c r="WFG54" s="1165"/>
      <c r="WFH54" s="1165"/>
      <c r="WFI54" s="1165"/>
      <c r="WFJ54" s="1165"/>
      <c r="WFK54" s="1165"/>
      <c r="WFL54" s="1165"/>
      <c r="WFM54" s="1165"/>
      <c r="WFN54" s="1165"/>
      <c r="WFO54" s="1165"/>
      <c r="WFP54" s="1165"/>
      <c r="WFQ54" s="1165"/>
      <c r="WFR54" s="1165"/>
      <c r="WFS54" s="1165"/>
      <c r="WFT54" s="1165"/>
      <c r="WFU54" s="1165"/>
      <c r="WFV54" s="1165"/>
      <c r="WFW54" s="1165"/>
      <c r="WFX54" s="1165"/>
      <c r="WFY54" s="1165"/>
      <c r="WFZ54" s="1165"/>
      <c r="WGA54" s="1165"/>
      <c r="WGB54" s="1165"/>
      <c r="WGC54" s="1165"/>
      <c r="WGD54" s="1165"/>
      <c r="WGE54" s="1165"/>
      <c r="WGF54" s="1165"/>
      <c r="WGG54" s="1165"/>
      <c r="WGH54" s="1165"/>
      <c r="WGI54" s="1165"/>
      <c r="WGJ54" s="1165"/>
      <c r="WGK54" s="1165"/>
      <c r="WGL54" s="1165"/>
      <c r="WGM54" s="1165"/>
      <c r="WGN54" s="1165"/>
      <c r="WGO54" s="1165"/>
      <c r="WGP54" s="1165"/>
      <c r="WGQ54" s="1165"/>
      <c r="WGR54" s="1165"/>
      <c r="WGS54" s="1165"/>
      <c r="WGT54" s="1165"/>
      <c r="WGU54" s="1165"/>
      <c r="WGV54" s="1165"/>
      <c r="WGW54" s="1165"/>
      <c r="WGX54" s="1165"/>
      <c r="WGY54" s="1165"/>
      <c r="WGZ54" s="1165"/>
      <c r="WHA54" s="1165"/>
      <c r="WHB54" s="1165"/>
      <c r="WHC54" s="1165"/>
      <c r="WHD54" s="1165"/>
      <c r="WHE54" s="1165"/>
      <c r="WHF54" s="1165"/>
      <c r="WHG54" s="1165"/>
      <c r="WHH54" s="1165"/>
      <c r="WHI54" s="1165"/>
      <c r="WHJ54" s="1165"/>
      <c r="WHK54" s="1165"/>
      <c r="WHL54" s="1165"/>
      <c r="WHM54" s="1165"/>
      <c r="WHN54" s="1165"/>
      <c r="WHO54" s="1165"/>
      <c r="WHP54" s="1165"/>
      <c r="WHQ54" s="1165"/>
      <c r="WHR54" s="1165"/>
      <c r="WHS54" s="1165"/>
      <c r="WHT54" s="1165"/>
      <c r="WHU54" s="1165"/>
      <c r="WHV54" s="1165"/>
      <c r="WHW54" s="1165"/>
      <c r="WHX54" s="1165"/>
      <c r="WHY54" s="1165"/>
      <c r="WHZ54" s="1165"/>
      <c r="WIA54" s="1165"/>
      <c r="WIB54" s="1165"/>
      <c r="WIC54" s="1165"/>
      <c r="WID54" s="1165"/>
      <c r="WIE54" s="1165"/>
      <c r="WIF54" s="1165"/>
      <c r="WIG54" s="1165"/>
      <c r="WIH54" s="1165"/>
      <c r="WII54" s="1165"/>
      <c r="WIJ54" s="1165"/>
      <c r="WIK54" s="1165"/>
      <c r="WIL54" s="1165"/>
      <c r="WIM54" s="1165"/>
      <c r="WIN54" s="1165"/>
      <c r="WIO54" s="1165"/>
      <c r="WIP54" s="1165"/>
      <c r="WIQ54" s="1165"/>
      <c r="WIR54" s="1165"/>
      <c r="WIS54" s="1165"/>
      <c r="WIT54" s="1165"/>
      <c r="WIU54" s="1165"/>
      <c r="WIV54" s="1165"/>
      <c r="WIW54" s="1165"/>
      <c r="WIX54" s="1165"/>
      <c r="WIY54" s="1165"/>
      <c r="WIZ54" s="1165"/>
      <c r="WJA54" s="1165"/>
      <c r="WJB54" s="1165"/>
      <c r="WJC54" s="1165"/>
      <c r="WJD54" s="1165"/>
      <c r="WJE54" s="1165"/>
      <c r="WJF54" s="1165"/>
      <c r="WJG54" s="1165"/>
      <c r="WJH54" s="1165"/>
      <c r="WJI54" s="1165"/>
      <c r="WJJ54" s="1165"/>
      <c r="WJK54" s="1165"/>
      <c r="WJL54" s="1165"/>
      <c r="WJM54" s="1165"/>
      <c r="WJN54" s="1165"/>
      <c r="WJO54" s="1165"/>
      <c r="WJP54" s="1165"/>
      <c r="WJQ54" s="1165"/>
      <c r="WJR54" s="1165"/>
      <c r="WJS54" s="1165"/>
      <c r="WJT54" s="1165"/>
      <c r="WJU54" s="1165"/>
      <c r="WJV54" s="1165"/>
      <c r="WJW54" s="1165"/>
      <c r="WJX54" s="1165"/>
      <c r="WJY54" s="1165"/>
      <c r="WJZ54" s="1165"/>
      <c r="WKA54" s="1165"/>
      <c r="WKB54" s="1165"/>
      <c r="WKC54" s="1165"/>
      <c r="WKD54" s="1165"/>
      <c r="WKE54" s="1165"/>
      <c r="WKF54" s="1165"/>
      <c r="WKG54" s="1165"/>
      <c r="WKH54" s="1165"/>
      <c r="WKI54" s="1165"/>
      <c r="WKJ54" s="1165"/>
      <c r="WKK54" s="1165"/>
      <c r="WKL54" s="1165"/>
      <c r="WKM54" s="1165"/>
      <c r="WKN54" s="1165"/>
      <c r="WKO54" s="1165"/>
      <c r="WKP54" s="1165"/>
      <c r="WKQ54" s="1165"/>
      <c r="WKR54" s="1165"/>
      <c r="WKS54" s="1165"/>
      <c r="WKT54" s="1165"/>
      <c r="WKU54" s="1165"/>
      <c r="WKV54" s="1165"/>
      <c r="WKW54" s="1165"/>
      <c r="WKX54" s="1165"/>
      <c r="WKY54" s="1165"/>
      <c r="WKZ54" s="1165"/>
      <c r="WLA54" s="1165"/>
      <c r="WLB54" s="1165"/>
      <c r="WLC54" s="1165"/>
      <c r="WLD54" s="1165"/>
      <c r="WLE54" s="1165"/>
      <c r="WLF54" s="1165"/>
      <c r="WLG54" s="1165"/>
      <c r="WLH54" s="1165"/>
      <c r="WLI54" s="1165"/>
      <c r="WLJ54" s="1165"/>
      <c r="WLK54" s="1165"/>
      <c r="WLL54" s="1165"/>
      <c r="WLM54" s="1165"/>
      <c r="WLN54" s="1165"/>
      <c r="WLO54" s="1165"/>
      <c r="WLP54" s="1165"/>
      <c r="WLQ54" s="1165"/>
      <c r="WLR54" s="1165"/>
      <c r="WLS54" s="1165"/>
      <c r="WLT54" s="1165"/>
      <c r="WLU54" s="1165"/>
      <c r="WLV54" s="1165"/>
      <c r="WLW54" s="1165"/>
      <c r="WLX54" s="1165"/>
      <c r="WLY54" s="1165"/>
      <c r="WLZ54" s="1165"/>
      <c r="WMA54" s="1165"/>
      <c r="WMB54" s="1165"/>
      <c r="WMC54" s="1165"/>
      <c r="WMD54" s="1165"/>
      <c r="WME54" s="1165"/>
      <c r="WMF54" s="1165"/>
      <c r="WMG54" s="1165"/>
      <c r="WMH54" s="1165"/>
      <c r="WMI54" s="1165"/>
      <c r="WMJ54" s="1165"/>
      <c r="WMK54" s="1165"/>
      <c r="WML54" s="1165"/>
      <c r="WMM54" s="1165"/>
      <c r="WMN54" s="1165"/>
      <c r="WMO54" s="1165"/>
      <c r="WMP54" s="1165"/>
      <c r="WMQ54" s="1165"/>
      <c r="WMR54" s="1165"/>
      <c r="WMS54" s="1165"/>
      <c r="WMT54" s="1165"/>
      <c r="WMU54" s="1165"/>
      <c r="WMV54" s="1165"/>
      <c r="WMW54" s="1165"/>
      <c r="WMX54" s="1165"/>
      <c r="WMY54" s="1165"/>
      <c r="WMZ54" s="1165"/>
      <c r="WNA54" s="1165"/>
      <c r="WNB54" s="1165"/>
      <c r="WNC54" s="1165"/>
      <c r="WND54" s="1165"/>
      <c r="WNE54" s="1165"/>
      <c r="WNF54" s="1165"/>
      <c r="WNG54" s="1165"/>
      <c r="WNH54" s="1165"/>
      <c r="WNI54" s="1165"/>
      <c r="WNJ54" s="1165"/>
      <c r="WNK54" s="1165"/>
      <c r="WNL54" s="1165"/>
      <c r="WNM54" s="1165"/>
      <c r="WNN54" s="1165"/>
      <c r="WNO54" s="1165"/>
      <c r="WNP54" s="1165"/>
      <c r="WNQ54" s="1165"/>
      <c r="WNR54" s="1165"/>
      <c r="WNS54" s="1165"/>
      <c r="WNT54" s="1165"/>
      <c r="WNU54" s="1165"/>
      <c r="WNV54" s="1165"/>
      <c r="WNW54" s="1165"/>
      <c r="WNX54" s="1165"/>
      <c r="WNY54" s="1165"/>
      <c r="WNZ54" s="1165"/>
      <c r="WOA54" s="1165"/>
      <c r="WOB54" s="1165"/>
      <c r="WOC54" s="1165"/>
      <c r="WOD54" s="1165"/>
      <c r="WOE54" s="1165"/>
      <c r="WOF54" s="1165"/>
      <c r="WOG54" s="1165"/>
      <c r="WOH54" s="1165"/>
      <c r="WOI54" s="1165"/>
      <c r="WOJ54" s="1165"/>
      <c r="WOK54" s="1165"/>
      <c r="WOL54" s="1165"/>
      <c r="WOM54" s="1165"/>
      <c r="WON54" s="1165"/>
      <c r="WOO54" s="1165"/>
      <c r="WOP54" s="1165"/>
      <c r="WOQ54" s="1165"/>
      <c r="WOR54" s="1165"/>
      <c r="WOS54" s="1165"/>
      <c r="WOT54" s="1165"/>
      <c r="WOU54" s="1165"/>
      <c r="WOV54" s="1165"/>
      <c r="WOW54" s="1165"/>
      <c r="WOX54" s="1165"/>
      <c r="WOY54" s="1165"/>
      <c r="WOZ54" s="1165"/>
      <c r="WPA54" s="1165"/>
      <c r="WPB54" s="1165"/>
      <c r="WPC54" s="1165"/>
      <c r="WPD54" s="1165"/>
      <c r="WPE54" s="1165"/>
      <c r="WPF54" s="1165"/>
      <c r="WPG54" s="1165"/>
      <c r="WPH54" s="1165"/>
      <c r="WPI54" s="1165"/>
      <c r="WPJ54" s="1165"/>
      <c r="WPK54" s="1165"/>
      <c r="WPL54" s="1165"/>
      <c r="WPM54" s="1165"/>
      <c r="WPN54" s="1165"/>
      <c r="WPO54" s="1165"/>
      <c r="WPP54" s="1165"/>
      <c r="WPQ54" s="1165"/>
      <c r="WPR54" s="1165"/>
      <c r="WPS54" s="1165"/>
      <c r="WPT54" s="1165"/>
      <c r="WPU54" s="1165"/>
      <c r="WPV54" s="1165"/>
      <c r="WPW54" s="1165"/>
      <c r="WPX54" s="1165"/>
      <c r="WPY54" s="1165"/>
      <c r="WPZ54" s="1165"/>
      <c r="WQA54" s="1165"/>
      <c r="WQB54" s="1165"/>
      <c r="WQC54" s="1165"/>
      <c r="WQD54" s="1165"/>
      <c r="WQE54" s="1165"/>
      <c r="WQF54" s="1165"/>
      <c r="WQG54" s="1165"/>
      <c r="WQH54" s="1165"/>
      <c r="WQI54" s="1165"/>
      <c r="WQJ54" s="1165"/>
      <c r="WQK54" s="1165"/>
      <c r="WQL54" s="1165"/>
      <c r="WQM54" s="1165"/>
      <c r="WQN54" s="1165"/>
      <c r="WQO54" s="1165"/>
      <c r="WQP54" s="1165"/>
      <c r="WQQ54" s="1165"/>
      <c r="WQR54" s="1165"/>
      <c r="WQS54" s="1165"/>
      <c r="WQT54" s="1165"/>
      <c r="WQU54" s="1165"/>
      <c r="WQV54" s="1165"/>
      <c r="WQW54" s="1165"/>
      <c r="WQX54" s="1165"/>
      <c r="WQY54" s="1165"/>
      <c r="WQZ54" s="1165"/>
      <c r="WRA54" s="1165"/>
      <c r="WRB54" s="1165"/>
      <c r="WRC54" s="1165"/>
      <c r="WRD54" s="1165"/>
      <c r="WRE54" s="1165"/>
      <c r="WRF54" s="1165"/>
      <c r="WRG54" s="1165"/>
      <c r="WRH54" s="1165"/>
      <c r="WRI54" s="1165"/>
      <c r="WRJ54" s="1165"/>
      <c r="WRK54" s="1165"/>
      <c r="WRL54" s="1165"/>
      <c r="WRM54" s="1165"/>
      <c r="WRN54" s="1165"/>
      <c r="WRO54" s="1165"/>
      <c r="WRP54" s="1165"/>
      <c r="WRQ54" s="1165"/>
      <c r="WRR54" s="1165"/>
      <c r="WRS54" s="1165"/>
      <c r="WRT54" s="1165"/>
      <c r="WRU54" s="1165"/>
      <c r="WRV54" s="1165"/>
      <c r="WRW54" s="1165"/>
      <c r="WRX54" s="1165"/>
      <c r="WRY54" s="1165"/>
      <c r="WRZ54" s="1165"/>
      <c r="WSA54" s="1165"/>
      <c r="WSB54" s="1165"/>
      <c r="WSC54" s="1165"/>
      <c r="WSD54" s="1165"/>
      <c r="WSE54" s="1165"/>
      <c r="WSF54" s="1165"/>
      <c r="WSG54" s="1165"/>
      <c r="WSH54" s="1165"/>
      <c r="WSI54" s="1165"/>
      <c r="WSJ54" s="1165"/>
      <c r="WSK54" s="1165"/>
      <c r="WSL54" s="1165"/>
      <c r="WSM54" s="1165"/>
      <c r="WSN54" s="1165"/>
      <c r="WSO54" s="1165"/>
      <c r="WSP54" s="1165"/>
      <c r="WSQ54" s="1165"/>
      <c r="WSR54" s="1165"/>
      <c r="WSS54" s="1165"/>
      <c r="WST54" s="1165"/>
      <c r="WSU54" s="1165"/>
      <c r="WSV54" s="1165"/>
      <c r="WSW54" s="1165"/>
      <c r="WSX54" s="1165"/>
      <c r="WSY54" s="1165"/>
      <c r="WSZ54" s="1165"/>
      <c r="WTA54" s="1165"/>
      <c r="WTB54" s="1165"/>
      <c r="WTC54" s="1165"/>
      <c r="WTD54" s="1165"/>
      <c r="WTE54" s="1165"/>
      <c r="WTF54" s="1165"/>
      <c r="WTG54" s="1165"/>
      <c r="WTH54" s="1165"/>
      <c r="WTI54" s="1165"/>
      <c r="WTJ54" s="1165"/>
      <c r="WTK54" s="1165"/>
      <c r="WTL54" s="1165"/>
      <c r="WTM54" s="1165"/>
      <c r="WTN54" s="1165"/>
      <c r="WTO54" s="1165"/>
      <c r="WTP54" s="1165"/>
      <c r="WTQ54" s="1165"/>
      <c r="WTR54" s="1165"/>
      <c r="WTS54" s="1165"/>
      <c r="WTT54" s="1165"/>
      <c r="WTU54" s="1165"/>
      <c r="WTV54" s="1165"/>
      <c r="WTW54" s="1165"/>
      <c r="WTX54" s="1165"/>
      <c r="WTY54" s="1165"/>
      <c r="WTZ54" s="1165"/>
      <c r="WUA54" s="1165"/>
      <c r="WUB54" s="1165"/>
      <c r="WUC54" s="1165"/>
      <c r="WUD54" s="1165"/>
      <c r="WUE54" s="1165"/>
      <c r="WUF54" s="1165"/>
      <c r="WUG54" s="1165"/>
      <c r="WUH54" s="1165"/>
      <c r="WUI54" s="1165"/>
      <c r="WUJ54" s="1165"/>
      <c r="WUK54" s="1165"/>
      <c r="WUL54" s="1165"/>
      <c r="WUM54" s="1165"/>
      <c r="WUN54" s="1165"/>
      <c r="WUO54" s="1165"/>
      <c r="WUP54" s="1165"/>
      <c r="WUQ54" s="1165"/>
      <c r="WUR54" s="1165"/>
      <c r="WUS54" s="1165"/>
      <c r="WUT54" s="1165"/>
      <c r="WUU54" s="1165"/>
      <c r="WUV54" s="1165"/>
      <c r="WUW54" s="1165"/>
      <c r="WUX54" s="1165"/>
      <c r="WUY54" s="1165"/>
      <c r="WUZ54" s="1165"/>
      <c r="WVA54" s="1165"/>
      <c r="WVB54" s="1165"/>
      <c r="WVC54" s="1165"/>
      <c r="WVD54" s="1165"/>
      <c r="WVE54" s="1165"/>
      <c r="WVF54" s="1165"/>
      <c r="WVG54" s="1165"/>
      <c r="WVH54" s="1165"/>
      <c r="WVI54" s="1165"/>
      <c r="WVJ54" s="1165"/>
      <c r="WVK54" s="1165"/>
      <c r="WVL54" s="1165"/>
      <c r="WVM54" s="1165"/>
      <c r="WVN54" s="1165"/>
      <c r="WVO54" s="1165"/>
      <c r="WVP54" s="1165"/>
      <c r="WVQ54" s="1165"/>
      <c r="WVR54" s="1165"/>
      <c r="WVS54" s="1165"/>
      <c r="WVT54" s="1165"/>
      <c r="WVU54" s="1165"/>
      <c r="WVV54" s="1165"/>
      <c r="WVW54" s="1165"/>
      <c r="WVX54" s="1165"/>
      <c r="WVY54" s="1165"/>
      <c r="WVZ54" s="1165"/>
      <c r="WWA54" s="1165"/>
      <c r="WWB54" s="1165"/>
      <c r="WWC54" s="1165"/>
      <c r="WWD54" s="1165"/>
      <c r="WWE54" s="1165"/>
      <c r="WWF54" s="1165"/>
      <c r="WWG54" s="1165"/>
      <c r="WWH54" s="1165"/>
      <c r="WWI54" s="1165"/>
      <c r="WWJ54" s="1165"/>
      <c r="WWK54" s="1165"/>
      <c r="WWL54" s="1165"/>
      <c r="WWM54" s="1165"/>
      <c r="WWN54" s="1165"/>
      <c r="WWO54" s="1165"/>
      <c r="WWP54" s="1165"/>
      <c r="WWQ54" s="1165"/>
      <c r="WWR54" s="1165"/>
      <c r="WWS54" s="1165"/>
      <c r="WWT54" s="1165"/>
      <c r="WWU54" s="1165"/>
      <c r="WWV54" s="1165"/>
      <c r="WWW54" s="1165"/>
      <c r="WWX54" s="1165"/>
    </row>
  </sheetData>
  <sheetProtection password="F3F4" sheet="1" objects="1" scenarios="1"/>
  <mergeCells count="255">
    <mergeCell ref="AQ45:AQ46"/>
    <mergeCell ref="E46:F46"/>
    <mergeCell ref="H46:I46"/>
    <mergeCell ref="AH45:AH46"/>
    <mergeCell ref="AI45:AI46"/>
    <mergeCell ref="AJ45:AJ46"/>
    <mergeCell ref="AK45:AK46"/>
    <mergeCell ref="AL45:AL46"/>
    <mergeCell ref="AM45:AM46"/>
    <mergeCell ref="AB45:AB46"/>
    <mergeCell ref="AC45:AC46"/>
    <mergeCell ref="AD45:AD46"/>
    <mergeCell ref="AE45:AE46"/>
    <mergeCell ref="AF45:AF46"/>
    <mergeCell ref="AG45:AG46"/>
    <mergeCell ref="V45:V46"/>
    <mergeCell ref="W45:W46"/>
    <mergeCell ref="X45:X46"/>
    <mergeCell ref="Y45:Y46"/>
    <mergeCell ref="Z45:Z46"/>
    <mergeCell ref="AA45:AA46"/>
    <mergeCell ref="P45:P46"/>
    <mergeCell ref="Q45:Q46"/>
    <mergeCell ref="R45:R46"/>
    <mergeCell ref="S45:S46"/>
    <mergeCell ref="T45:T46"/>
    <mergeCell ref="U45:U46"/>
    <mergeCell ref="AN41:AN42"/>
    <mergeCell ref="AO41:AO42"/>
    <mergeCell ref="AP41:AP42"/>
    <mergeCell ref="Z41:Z42"/>
    <mergeCell ref="AN45:AN46"/>
    <mergeCell ref="AO45:AO46"/>
    <mergeCell ref="AP45:AP46"/>
    <mergeCell ref="AQ41:AQ42"/>
    <mergeCell ref="J45:J46"/>
    <mergeCell ref="K45:K46"/>
    <mergeCell ref="L45:L46"/>
    <mergeCell ref="M45:M46"/>
    <mergeCell ref="N45:N46"/>
    <mergeCell ref="O45:O46"/>
    <mergeCell ref="AG41:AG42"/>
    <mergeCell ref="AH41:AH42"/>
    <mergeCell ref="AI41:AI42"/>
    <mergeCell ref="AJ41:AJ42"/>
    <mergeCell ref="AK41:AK42"/>
    <mergeCell ref="AL41:AL42"/>
    <mergeCell ref="AA41:AA42"/>
    <mergeCell ref="AB41:AB42"/>
    <mergeCell ref="AC41:AC42"/>
    <mergeCell ref="AD41:AD42"/>
    <mergeCell ref="AE41:AE42"/>
    <mergeCell ref="AF41:AF42"/>
    <mergeCell ref="R41:R42"/>
    <mergeCell ref="S41:S42"/>
    <mergeCell ref="T41:T42"/>
    <mergeCell ref="U41:U42"/>
    <mergeCell ref="Y41:Y42"/>
    <mergeCell ref="J41:J42"/>
    <mergeCell ref="K41:K42"/>
    <mergeCell ref="L41:L42"/>
    <mergeCell ref="M41:M42"/>
    <mergeCell ref="O41:O42"/>
    <mergeCell ref="P41:P42"/>
    <mergeCell ref="J34:J37"/>
    <mergeCell ref="K34:K37"/>
    <mergeCell ref="L34:L37"/>
    <mergeCell ref="M34:M37"/>
    <mergeCell ref="Z31:Z39"/>
    <mergeCell ref="AA31:AA39"/>
    <mergeCell ref="AB31:AB39"/>
    <mergeCell ref="AC31:AC39"/>
    <mergeCell ref="AD31:AD39"/>
    <mergeCell ref="AE31:AE39"/>
    <mergeCell ref="P31:P39"/>
    <mergeCell ref="R31:R39"/>
    <mergeCell ref="S31:S39"/>
    <mergeCell ref="T31:T39"/>
    <mergeCell ref="U31:U33"/>
    <mergeCell ref="Y31:Y39"/>
    <mergeCell ref="AO31:AO39"/>
    <mergeCell ref="AP31:AP39"/>
    <mergeCell ref="AQ31:AQ39"/>
    <mergeCell ref="AF31:AF39"/>
    <mergeCell ref="AG31:AG39"/>
    <mergeCell ref="AH31:AH39"/>
    <mergeCell ref="AI31:AI39"/>
    <mergeCell ref="AJ31:AJ39"/>
    <mergeCell ref="AK31:AK39"/>
    <mergeCell ref="AL31:AL39"/>
    <mergeCell ref="AM31:AM39"/>
    <mergeCell ref="AN31:AN39"/>
    <mergeCell ref="J27:J28"/>
    <mergeCell ref="K27:K28"/>
    <mergeCell ref="L27:L28"/>
    <mergeCell ref="M27:M28"/>
    <mergeCell ref="U27:U28"/>
    <mergeCell ref="J31:J33"/>
    <mergeCell ref="K31:K33"/>
    <mergeCell ref="L31:L33"/>
    <mergeCell ref="M31:M33"/>
    <mergeCell ref="O31:O39"/>
    <mergeCell ref="U34:U37"/>
    <mergeCell ref="J38:J39"/>
    <mergeCell ref="K38:K39"/>
    <mergeCell ref="L38:L39"/>
    <mergeCell ref="M38:M39"/>
    <mergeCell ref="U38:U39"/>
    <mergeCell ref="AL25:AL28"/>
    <mergeCell ref="AM25:AM28"/>
    <mergeCell ref="AN25:AN28"/>
    <mergeCell ref="AO25:AO28"/>
    <mergeCell ref="AP25:AP28"/>
    <mergeCell ref="AQ25:AQ28"/>
    <mergeCell ref="AF25:AF28"/>
    <mergeCell ref="AG25:AG28"/>
    <mergeCell ref="AH25:AH28"/>
    <mergeCell ref="AI25:AI28"/>
    <mergeCell ref="AJ25:AJ28"/>
    <mergeCell ref="AK25:AK28"/>
    <mergeCell ref="Z25:Z28"/>
    <mergeCell ref="AA25:AA28"/>
    <mergeCell ref="AB25:AB28"/>
    <mergeCell ref="AC25:AC28"/>
    <mergeCell ref="AD25:AD28"/>
    <mergeCell ref="AE25:AE28"/>
    <mergeCell ref="O25:O28"/>
    <mergeCell ref="P25:P28"/>
    <mergeCell ref="R25:R28"/>
    <mergeCell ref="S25:S28"/>
    <mergeCell ref="T25:T28"/>
    <mergeCell ref="Y25:Y28"/>
    <mergeCell ref="AL21:AL23"/>
    <mergeCell ref="AM21:AM23"/>
    <mergeCell ref="AN21:AN23"/>
    <mergeCell ref="AO21:AO23"/>
    <mergeCell ref="AP21:AP23"/>
    <mergeCell ref="AQ21:AQ23"/>
    <mergeCell ref="AF21:AF23"/>
    <mergeCell ref="AG21:AG23"/>
    <mergeCell ref="AH21:AH23"/>
    <mergeCell ref="AI21:AI23"/>
    <mergeCell ref="AJ21:AJ23"/>
    <mergeCell ref="AK21:AK23"/>
    <mergeCell ref="Z21:Z23"/>
    <mergeCell ref="AA21:AA23"/>
    <mergeCell ref="AB21:AB23"/>
    <mergeCell ref="AC21:AC23"/>
    <mergeCell ref="AD21:AD23"/>
    <mergeCell ref="AE21:AE23"/>
    <mergeCell ref="P21:P23"/>
    <mergeCell ref="R21:R23"/>
    <mergeCell ref="S21:S23"/>
    <mergeCell ref="T21:T23"/>
    <mergeCell ref="U21:U23"/>
    <mergeCell ref="Y21:Y23"/>
    <mergeCell ref="AM18:AM19"/>
    <mergeCell ref="AN18:AN19"/>
    <mergeCell ref="AO18:AO19"/>
    <mergeCell ref="AP18:AP19"/>
    <mergeCell ref="AQ18:AQ19"/>
    <mergeCell ref="J21:J23"/>
    <mergeCell ref="K21:K23"/>
    <mergeCell ref="L21:L23"/>
    <mergeCell ref="M21:M23"/>
    <mergeCell ref="O21:O23"/>
    <mergeCell ref="AG18:AG19"/>
    <mergeCell ref="AH18:AH19"/>
    <mergeCell ref="AI18:AI19"/>
    <mergeCell ref="AJ18:AJ19"/>
    <mergeCell ref="AK18:AK19"/>
    <mergeCell ref="AL18:AL19"/>
    <mergeCell ref="AA18:AA19"/>
    <mergeCell ref="AB18:AB19"/>
    <mergeCell ref="AC18:AC19"/>
    <mergeCell ref="AD18:AD19"/>
    <mergeCell ref="AE18:AE19"/>
    <mergeCell ref="AF18:AF19"/>
    <mergeCell ref="R18:R19"/>
    <mergeCell ref="S18:S19"/>
    <mergeCell ref="T18:T19"/>
    <mergeCell ref="U18:U19"/>
    <mergeCell ref="Y18:Y19"/>
    <mergeCell ref="Z18:Z19"/>
    <mergeCell ref="J18:J19"/>
    <mergeCell ref="K18:K19"/>
    <mergeCell ref="L18:L19"/>
    <mergeCell ref="M18:M19"/>
    <mergeCell ref="O18:O19"/>
    <mergeCell ref="P18:P19"/>
    <mergeCell ref="AN12:AN16"/>
    <mergeCell ref="AO12:AO16"/>
    <mergeCell ref="AP12:AP16"/>
    <mergeCell ref="AQ12:AQ16"/>
    <mergeCell ref="E14:F14"/>
    <mergeCell ref="U14:U15"/>
    <mergeCell ref="AG12:AG16"/>
    <mergeCell ref="AH12:AH16"/>
    <mergeCell ref="AI12:AI16"/>
    <mergeCell ref="AJ12:AJ16"/>
    <mergeCell ref="AK12:AK16"/>
    <mergeCell ref="AL12:AL16"/>
    <mergeCell ref="AA12:AA16"/>
    <mergeCell ref="AB12:AB16"/>
    <mergeCell ref="AC12:AC16"/>
    <mergeCell ref="AD12:AD16"/>
    <mergeCell ref="AE12:AE16"/>
    <mergeCell ref="AF12:AF16"/>
    <mergeCell ref="R12:R16"/>
    <mergeCell ref="S12:S16"/>
    <mergeCell ref="T12:T16"/>
    <mergeCell ref="U12:U13"/>
    <mergeCell ref="Y12:Y16"/>
    <mergeCell ref="AE7:AJ7"/>
    <mergeCell ref="AK7:AM7"/>
    <mergeCell ref="O7:O8"/>
    <mergeCell ref="P7:P8"/>
    <mergeCell ref="Q7:Q8"/>
    <mergeCell ref="R7:R8"/>
    <mergeCell ref="S7:S8"/>
    <mergeCell ref="T7:T8"/>
    <mergeCell ref="AM12:AM16"/>
    <mergeCell ref="Y7:Z7"/>
    <mergeCell ref="AA7:AD7"/>
    <mergeCell ref="Z12:Z16"/>
    <mergeCell ref="J12:J15"/>
    <mergeCell ref="K12:K15"/>
    <mergeCell ref="L12:L15"/>
    <mergeCell ref="M12:M15"/>
    <mergeCell ref="O12:O16"/>
    <mergeCell ref="P12:P16"/>
    <mergeCell ref="H7:I8"/>
    <mergeCell ref="J7:J8"/>
    <mergeCell ref="K7:K8"/>
    <mergeCell ref="L7:L8"/>
    <mergeCell ref="M7:M8"/>
    <mergeCell ref="N7:N8"/>
    <mergeCell ref="A1:AO4"/>
    <mergeCell ref="A5:M6"/>
    <mergeCell ref="N5:AQ5"/>
    <mergeCell ref="N6:X6"/>
    <mergeCell ref="AO6:AQ6"/>
    <mergeCell ref="A7:A8"/>
    <mergeCell ref="B7:C8"/>
    <mergeCell ref="D7:D8"/>
    <mergeCell ref="E7:F8"/>
    <mergeCell ref="G7:G8"/>
    <mergeCell ref="AN7:AN8"/>
    <mergeCell ref="AO7:AO8"/>
    <mergeCell ref="AP7:AP8"/>
    <mergeCell ref="AQ7:AQ8"/>
    <mergeCell ref="U7:U8"/>
    <mergeCell ref="V7:V8"/>
    <mergeCell ref="W7:W8"/>
    <mergeCell ref="X7:X8"/>
  </mergeCells>
  <pageMargins left="0.70866141732283472" right="0.70866141732283472" top="0.74803149606299213" bottom="0.74803149606299213" header="0.31496062992125984" footer="0.31496062992125984"/>
  <pageSetup paperSize="5" scale="6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3"/>
  <sheetViews>
    <sheetView showGridLines="0" zoomScale="60" zoomScaleNormal="60" workbookViewId="0">
      <selection activeCell="F15" sqref="F15:F21"/>
    </sheetView>
  </sheetViews>
  <sheetFormatPr baseColWidth="10" defaultColWidth="11.42578125" defaultRowHeight="15" x14ac:dyDescent="0.25"/>
  <cols>
    <col min="1" max="1" width="19.42578125" customWidth="1"/>
    <col min="2" max="2" width="23.140625" customWidth="1"/>
    <col min="3" max="3" width="19.7109375" customWidth="1"/>
    <col min="4" max="4" width="21.7109375" customWidth="1"/>
    <col min="5" max="5" width="16.5703125" customWidth="1"/>
    <col min="6" max="6" width="25.140625" customWidth="1"/>
    <col min="7" max="7" width="14.28515625" customWidth="1"/>
    <col min="8" max="8" width="28.7109375" customWidth="1"/>
    <col min="9" max="9" width="19.42578125" customWidth="1"/>
    <col min="10" max="10" width="23.85546875" customWidth="1"/>
    <col min="11" max="11" width="25.85546875" customWidth="1"/>
    <col min="12" max="12" width="18" customWidth="1"/>
    <col min="13" max="13" width="24" customWidth="1"/>
    <col min="14" max="14" width="17.5703125" customWidth="1"/>
    <col min="15" max="15" width="30" customWidth="1"/>
    <col min="16" max="16" width="23.7109375" customWidth="1"/>
    <col min="17" max="17" width="30.85546875" customWidth="1"/>
    <col min="18" max="18" width="23.85546875" customWidth="1"/>
    <col min="19" max="19" width="28.5703125" customWidth="1"/>
    <col min="21" max="21" width="22.7109375" customWidth="1"/>
    <col min="22" max="37" width="8.85546875" customWidth="1"/>
    <col min="39" max="39" width="13.7109375" customWidth="1"/>
    <col min="40" max="40" width="22.42578125" customWidth="1"/>
  </cols>
  <sheetData>
    <row r="1" spans="1:40" ht="24.75" customHeight="1" x14ac:dyDescent="0.25">
      <c r="A1" s="4471" t="s">
        <v>1807</v>
      </c>
      <c r="B1" s="4471"/>
      <c r="C1" s="4471"/>
      <c r="D1" s="4471"/>
      <c r="E1" s="4471"/>
      <c r="F1" s="4471"/>
      <c r="G1" s="4471"/>
      <c r="H1" s="4471"/>
      <c r="I1" s="4471"/>
      <c r="J1" s="4471"/>
      <c r="K1" s="4471"/>
      <c r="L1" s="4471"/>
      <c r="M1" s="4471"/>
      <c r="N1" s="4471"/>
      <c r="O1" s="4471"/>
      <c r="P1" s="4471"/>
      <c r="Q1" s="4471"/>
      <c r="R1" s="4471"/>
      <c r="S1" s="4471"/>
      <c r="T1" s="4471"/>
      <c r="U1" s="4471"/>
      <c r="V1" s="4471"/>
      <c r="W1" s="4471"/>
      <c r="X1" s="4471"/>
      <c r="Y1" s="4471"/>
      <c r="Z1" s="4471"/>
      <c r="AA1" s="4471"/>
      <c r="AB1" s="4471"/>
      <c r="AC1" s="4471"/>
      <c r="AD1" s="4471"/>
      <c r="AE1" s="4471"/>
      <c r="AF1" s="4471"/>
      <c r="AG1" s="4471"/>
      <c r="AH1" s="4471"/>
      <c r="AI1" s="4471"/>
      <c r="AJ1" s="4471"/>
      <c r="AK1" s="4471"/>
      <c r="AL1" s="4471"/>
      <c r="AM1" s="154" t="s">
        <v>1</v>
      </c>
      <c r="AN1" s="154" t="s">
        <v>122</v>
      </c>
    </row>
    <row r="2" spans="1:40" ht="24.75" customHeight="1" x14ac:dyDescent="0.25">
      <c r="A2" s="4471"/>
      <c r="B2" s="4471"/>
      <c r="C2" s="4471"/>
      <c r="D2" s="4471"/>
      <c r="E2" s="4471"/>
      <c r="F2" s="4471"/>
      <c r="G2" s="4471"/>
      <c r="H2" s="4471"/>
      <c r="I2" s="4471"/>
      <c r="J2" s="4471"/>
      <c r="K2" s="4471"/>
      <c r="L2" s="4471"/>
      <c r="M2" s="4471"/>
      <c r="N2" s="4471"/>
      <c r="O2" s="4471"/>
      <c r="P2" s="4471"/>
      <c r="Q2" s="4471"/>
      <c r="R2" s="4471"/>
      <c r="S2" s="4471"/>
      <c r="T2" s="4471"/>
      <c r="U2" s="4471"/>
      <c r="V2" s="4471"/>
      <c r="W2" s="4471"/>
      <c r="X2" s="4471"/>
      <c r="Y2" s="4471"/>
      <c r="Z2" s="4471"/>
      <c r="AA2" s="4471"/>
      <c r="AB2" s="4471"/>
      <c r="AC2" s="4471"/>
      <c r="AD2" s="4471"/>
      <c r="AE2" s="4471"/>
      <c r="AF2" s="4471"/>
      <c r="AG2" s="4471"/>
      <c r="AH2" s="4471"/>
      <c r="AI2" s="4471"/>
      <c r="AJ2" s="4471"/>
      <c r="AK2" s="4471"/>
      <c r="AL2" s="4471"/>
      <c r="AM2" s="157" t="s">
        <v>3</v>
      </c>
      <c r="AN2" s="154" t="s">
        <v>123</v>
      </c>
    </row>
    <row r="3" spans="1:40" ht="24.75" customHeight="1" x14ac:dyDescent="0.25">
      <c r="A3" s="4471"/>
      <c r="B3" s="4471"/>
      <c r="C3" s="4471"/>
      <c r="D3" s="4471"/>
      <c r="E3" s="4471"/>
      <c r="F3" s="4471"/>
      <c r="G3" s="4471"/>
      <c r="H3" s="4471"/>
      <c r="I3" s="4471"/>
      <c r="J3" s="4471"/>
      <c r="K3" s="4471"/>
      <c r="L3" s="4471"/>
      <c r="M3" s="4471"/>
      <c r="N3" s="4471"/>
      <c r="O3" s="4471"/>
      <c r="P3" s="4471"/>
      <c r="Q3" s="4471"/>
      <c r="R3" s="4471"/>
      <c r="S3" s="4471"/>
      <c r="T3" s="4471"/>
      <c r="U3" s="4471"/>
      <c r="V3" s="4471"/>
      <c r="W3" s="4471"/>
      <c r="X3" s="4471"/>
      <c r="Y3" s="4471"/>
      <c r="Z3" s="4471"/>
      <c r="AA3" s="4471"/>
      <c r="AB3" s="4471"/>
      <c r="AC3" s="4471"/>
      <c r="AD3" s="4471"/>
      <c r="AE3" s="4471"/>
      <c r="AF3" s="4471"/>
      <c r="AG3" s="4471"/>
      <c r="AH3" s="4471"/>
      <c r="AI3" s="4471"/>
      <c r="AJ3" s="4471"/>
      <c r="AK3" s="4471"/>
      <c r="AL3" s="4471"/>
      <c r="AM3" s="154" t="s">
        <v>5</v>
      </c>
      <c r="AN3" s="158" t="s">
        <v>6</v>
      </c>
    </row>
    <row r="4" spans="1:40" ht="24.75" customHeight="1" x14ac:dyDescent="0.25">
      <c r="A4" s="4471"/>
      <c r="B4" s="4471"/>
      <c r="C4" s="4471"/>
      <c r="D4" s="4471"/>
      <c r="E4" s="4471"/>
      <c r="F4" s="4471"/>
      <c r="G4" s="4471"/>
      <c r="H4" s="4471"/>
      <c r="I4" s="4471"/>
      <c r="J4" s="4471"/>
      <c r="K4" s="4471"/>
      <c r="L4" s="4471"/>
      <c r="M4" s="4471"/>
      <c r="N4" s="4471"/>
      <c r="O4" s="4471"/>
      <c r="P4" s="4471"/>
      <c r="Q4" s="4471"/>
      <c r="R4" s="4471"/>
      <c r="S4" s="4471"/>
      <c r="T4" s="4471"/>
      <c r="U4" s="4471"/>
      <c r="V4" s="4471"/>
      <c r="W4" s="4471"/>
      <c r="X4" s="4471"/>
      <c r="Y4" s="4471"/>
      <c r="Z4" s="4471"/>
      <c r="AA4" s="4471"/>
      <c r="AB4" s="4471"/>
      <c r="AC4" s="4471"/>
      <c r="AD4" s="4471"/>
      <c r="AE4" s="4471"/>
      <c r="AF4" s="4471"/>
      <c r="AG4" s="4471"/>
      <c r="AH4" s="4471"/>
      <c r="AI4" s="4471"/>
      <c r="AJ4" s="4471"/>
      <c r="AK4" s="4471"/>
      <c r="AL4" s="4471"/>
      <c r="AM4" s="2038" t="s">
        <v>7</v>
      </c>
      <c r="AN4" s="2039" t="s">
        <v>8</v>
      </c>
    </row>
    <row r="5" spans="1:40" ht="15.75" x14ac:dyDescent="0.25">
      <c r="A5" s="3285" t="s">
        <v>9</v>
      </c>
      <c r="B5" s="3285"/>
      <c r="C5" s="3285"/>
      <c r="D5" s="3285"/>
      <c r="E5" s="3285"/>
      <c r="F5" s="3285"/>
      <c r="G5" s="3285"/>
      <c r="H5" s="3285"/>
      <c r="I5" s="3285"/>
      <c r="J5" s="3285"/>
      <c r="K5" s="3285" t="s">
        <v>10</v>
      </c>
      <c r="L5" s="3285"/>
      <c r="M5" s="3285"/>
      <c r="N5" s="3285"/>
      <c r="O5" s="3285"/>
      <c r="P5" s="3285"/>
      <c r="Q5" s="3285"/>
      <c r="R5" s="3285"/>
      <c r="S5" s="3285"/>
      <c r="T5" s="3285"/>
      <c r="U5" s="3285"/>
      <c r="V5" s="3285"/>
      <c r="W5" s="3285"/>
      <c r="X5" s="3285"/>
      <c r="Y5" s="3285"/>
      <c r="Z5" s="3285"/>
      <c r="AA5" s="3285"/>
      <c r="AB5" s="3285"/>
      <c r="AC5" s="3285"/>
      <c r="AD5" s="3285"/>
      <c r="AE5" s="3285"/>
      <c r="AF5" s="3285"/>
      <c r="AG5" s="3285"/>
      <c r="AH5" s="3285"/>
      <c r="AI5" s="3285"/>
      <c r="AJ5" s="3285"/>
      <c r="AK5" s="3285"/>
      <c r="AL5" s="4472"/>
      <c r="AM5" s="4472"/>
      <c r="AN5" s="4472"/>
    </row>
    <row r="6" spans="1:40" ht="15.75" x14ac:dyDescent="0.25">
      <c r="A6" s="3285"/>
      <c r="B6" s="3285"/>
      <c r="C6" s="3285"/>
      <c r="D6" s="3285"/>
      <c r="E6" s="3285"/>
      <c r="F6" s="3285"/>
      <c r="G6" s="3285"/>
      <c r="H6" s="3285"/>
      <c r="I6" s="3285"/>
      <c r="J6" s="3285"/>
      <c r="K6" s="3285"/>
      <c r="L6" s="3285"/>
      <c r="M6" s="3285"/>
      <c r="N6" s="3285"/>
      <c r="O6" s="3285"/>
      <c r="P6" s="3285"/>
      <c r="Q6" s="3285"/>
      <c r="R6" s="3285"/>
      <c r="S6" s="3285"/>
      <c r="T6" s="3285"/>
      <c r="U6" s="3285"/>
      <c r="V6" s="3285" t="s">
        <v>1808</v>
      </c>
      <c r="W6" s="3285"/>
      <c r="X6" s="3285"/>
      <c r="Y6" s="3285"/>
      <c r="Z6" s="3285"/>
      <c r="AA6" s="3285"/>
      <c r="AB6" s="3285"/>
      <c r="AC6" s="3285"/>
      <c r="AD6" s="3285"/>
      <c r="AE6" s="3285"/>
      <c r="AF6" s="3285"/>
      <c r="AG6" s="3285"/>
      <c r="AH6" s="3285"/>
      <c r="AI6" s="3285"/>
      <c r="AJ6" s="3285"/>
      <c r="AK6" s="3285"/>
      <c r="AL6" s="4473" t="s">
        <v>32</v>
      </c>
      <c r="AM6" s="4473" t="s">
        <v>33</v>
      </c>
      <c r="AN6" s="4474" t="s">
        <v>34</v>
      </c>
    </row>
    <row r="7" spans="1:40" ht="25.5" customHeight="1" x14ac:dyDescent="0.25">
      <c r="A7" s="4469" t="s">
        <v>12</v>
      </c>
      <c r="B7" s="4469" t="s">
        <v>1809</v>
      </c>
      <c r="C7" s="4469" t="s">
        <v>12</v>
      </c>
      <c r="D7" s="4469" t="s">
        <v>1810</v>
      </c>
      <c r="E7" s="4469" t="s">
        <v>12</v>
      </c>
      <c r="F7" s="4469" t="s">
        <v>1811</v>
      </c>
      <c r="G7" s="4469" t="s">
        <v>12</v>
      </c>
      <c r="H7" s="4480" t="s">
        <v>1812</v>
      </c>
      <c r="I7" s="4480" t="s">
        <v>17</v>
      </c>
      <c r="J7" s="4480" t="s">
        <v>18</v>
      </c>
      <c r="K7" s="4480" t="s">
        <v>19</v>
      </c>
      <c r="L7" s="4480" t="s">
        <v>1813</v>
      </c>
      <c r="M7" s="4480" t="s">
        <v>10</v>
      </c>
      <c r="N7" s="4480" t="s">
        <v>21</v>
      </c>
      <c r="O7" s="4480" t="s">
        <v>1814</v>
      </c>
      <c r="P7" s="4476" t="s">
        <v>23</v>
      </c>
      <c r="Q7" s="4476" t="s">
        <v>24</v>
      </c>
      <c r="R7" s="4476" t="s">
        <v>25</v>
      </c>
      <c r="S7" s="4478" t="s">
        <v>22</v>
      </c>
      <c r="T7" s="4476" t="s">
        <v>12</v>
      </c>
      <c r="U7" s="4476" t="s">
        <v>26</v>
      </c>
      <c r="V7" s="3579" t="s">
        <v>27</v>
      </c>
      <c r="W7" s="3579"/>
      <c r="X7" s="3580" t="s">
        <v>28</v>
      </c>
      <c r="Y7" s="3580"/>
      <c r="Z7" s="3580"/>
      <c r="AA7" s="3580"/>
      <c r="AB7" s="3581" t="s">
        <v>29</v>
      </c>
      <c r="AC7" s="3582"/>
      <c r="AD7" s="3582"/>
      <c r="AE7" s="3582"/>
      <c r="AF7" s="3582"/>
      <c r="AG7" s="3583"/>
      <c r="AH7" s="3580" t="s">
        <v>30</v>
      </c>
      <c r="AI7" s="3580"/>
      <c r="AJ7" s="3580"/>
      <c r="AK7" s="4489" t="s">
        <v>31</v>
      </c>
      <c r="AL7" s="4473"/>
      <c r="AM7" s="4473"/>
      <c r="AN7" s="4474"/>
    </row>
    <row r="8" spans="1:40" ht="163.5" x14ac:dyDescent="0.25">
      <c r="A8" s="4475"/>
      <c r="B8" s="4470"/>
      <c r="C8" s="4470"/>
      <c r="D8" s="4470"/>
      <c r="E8" s="4470"/>
      <c r="F8" s="4470"/>
      <c r="G8" s="4470"/>
      <c r="H8" s="4481"/>
      <c r="I8" s="4481"/>
      <c r="J8" s="4482"/>
      <c r="K8" s="4481"/>
      <c r="L8" s="4481"/>
      <c r="M8" s="4481"/>
      <c r="N8" s="4481"/>
      <c r="O8" s="4481"/>
      <c r="P8" s="4477"/>
      <c r="Q8" s="4477"/>
      <c r="R8" s="4477"/>
      <c r="S8" s="4479"/>
      <c r="T8" s="4477"/>
      <c r="U8" s="4477"/>
      <c r="V8" s="2040" t="s">
        <v>35</v>
      </c>
      <c r="W8" s="2041" t="s">
        <v>36</v>
      </c>
      <c r="X8" s="2042" t="s">
        <v>37</v>
      </c>
      <c r="Y8" s="2042" t="s">
        <v>125</v>
      </c>
      <c r="Z8" s="2042" t="s">
        <v>126</v>
      </c>
      <c r="AA8" s="2042" t="s">
        <v>127</v>
      </c>
      <c r="AB8" s="2042" t="s">
        <v>41</v>
      </c>
      <c r="AC8" s="2042" t="s">
        <v>42</v>
      </c>
      <c r="AD8" s="2042" t="s">
        <v>43</v>
      </c>
      <c r="AE8" s="2042" t="s">
        <v>44</v>
      </c>
      <c r="AF8" s="2042" t="s">
        <v>45</v>
      </c>
      <c r="AG8" s="2042" t="s">
        <v>46</v>
      </c>
      <c r="AH8" s="2042" t="s">
        <v>47</v>
      </c>
      <c r="AI8" s="2042" t="s">
        <v>48</v>
      </c>
      <c r="AJ8" s="2042" t="s">
        <v>49</v>
      </c>
      <c r="AK8" s="4490"/>
      <c r="AL8" s="4473"/>
      <c r="AM8" s="4473"/>
      <c r="AN8" s="4474"/>
    </row>
    <row r="9" spans="1:40" ht="28.5" customHeight="1" x14ac:dyDescent="0.25">
      <c r="A9" s="2043">
        <v>2</v>
      </c>
      <c r="B9" s="4491" t="s">
        <v>200</v>
      </c>
      <c r="C9" s="4492"/>
      <c r="D9" s="4492"/>
      <c r="E9" s="2044"/>
      <c r="F9" s="2044"/>
      <c r="G9" s="2044"/>
      <c r="H9" s="2044"/>
      <c r="I9" s="2044"/>
      <c r="J9" s="2044"/>
      <c r="K9" s="2044"/>
      <c r="L9" s="2044"/>
      <c r="M9" s="2044"/>
      <c r="N9" s="2044"/>
      <c r="O9" s="2044"/>
      <c r="P9" s="2044"/>
      <c r="Q9" s="2044"/>
      <c r="R9" s="2044"/>
      <c r="S9" s="2044"/>
      <c r="T9" s="2044"/>
      <c r="U9" s="2044"/>
      <c r="V9" s="2044"/>
      <c r="W9" s="2044"/>
      <c r="X9" s="2044"/>
      <c r="Y9" s="2044"/>
      <c r="Z9" s="2044"/>
      <c r="AA9" s="2044"/>
      <c r="AB9" s="2044"/>
      <c r="AC9" s="2044"/>
      <c r="AD9" s="2044"/>
      <c r="AE9" s="2044"/>
      <c r="AF9" s="2044"/>
      <c r="AG9" s="2044"/>
      <c r="AH9" s="2044"/>
      <c r="AI9" s="2044"/>
      <c r="AJ9" s="2044"/>
      <c r="AK9" s="2044"/>
      <c r="AL9" s="2045"/>
      <c r="AM9" s="2045"/>
      <c r="AN9" s="2046"/>
    </row>
    <row r="10" spans="1:40" ht="24.75" customHeight="1" x14ac:dyDescent="0.25">
      <c r="A10" s="2047"/>
      <c r="B10" s="2048"/>
      <c r="C10" s="2049">
        <v>4</v>
      </c>
      <c r="D10" s="4493" t="s">
        <v>1815</v>
      </c>
      <c r="E10" s="4494"/>
      <c r="F10" s="4494"/>
      <c r="G10" s="4494"/>
      <c r="H10" s="4494"/>
      <c r="I10" s="4494"/>
      <c r="J10" s="4494"/>
      <c r="K10" s="4494"/>
      <c r="L10" s="4494"/>
      <c r="M10" s="4494"/>
      <c r="N10" s="4494"/>
      <c r="O10" s="4494"/>
      <c r="P10" s="4494"/>
      <c r="Q10" s="4494"/>
      <c r="R10" s="4494"/>
      <c r="S10" s="4494"/>
      <c r="T10" s="4494"/>
      <c r="U10" s="4494"/>
      <c r="V10" s="4494"/>
      <c r="W10" s="4494"/>
      <c r="X10" s="4494"/>
      <c r="Y10" s="4494"/>
      <c r="Z10" s="4494"/>
      <c r="AA10" s="4494"/>
      <c r="AB10" s="4494"/>
      <c r="AC10" s="4494"/>
      <c r="AD10" s="4494"/>
      <c r="AE10" s="4494"/>
      <c r="AF10" s="4494"/>
      <c r="AG10" s="4494"/>
      <c r="AH10" s="4494"/>
      <c r="AI10" s="4494"/>
      <c r="AJ10" s="4494"/>
      <c r="AK10" s="4494"/>
      <c r="AL10" s="4494"/>
      <c r="AM10" s="4494"/>
      <c r="AN10" s="4495"/>
    </row>
    <row r="11" spans="1:40" ht="25.5" customHeight="1" x14ac:dyDescent="0.25">
      <c r="A11" s="2050"/>
      <c r="B11" s="2051"/>
      <c r="C11" s="2048"/>
      <c r="D11" s="2047"/>
      <c r="E11" s="2052">
        <v>14</v>
      </c>
      <c r="F11" s="4496" t="s">
        <v>1816</v>
      </c>
      <c r="G11" s="4496"/>
      <c r="H11" s="4496"/>
      <c r="I11" s="4496"/>
      <c r="J11" s="4496"/>
      <c r="K11" s="4496"/>
      <c r="L11" s="4496"/>
      <c r="M11" s="4496"/>
      <c r="N11" s="4496"/>
      <c r="O11" s="4496"/>
      <c r="P11" s="4496"/>
      <c r="Q11" s="4496"/>
      <c r="R11" s="4496"/>
      <c r="S11" s="4496"/>
      <c r="T11" s="4496"/>
      <c r="U11" s="4496"/>
      <c r="V11" s="4496"/>
      <c r="W11" s="4496"/>
      <c r="X11" s="4496"/>
      <c r="Y11" s="4496"/>
      <c r="Z11" s="4496"/>
      <c r="AA11" s="4496"/>
      <c r="AB11" s="4496"/>
      <c r="AC11" s="4496"/>
      <c r="AD11" s="4496"/>
      <c r="AE11" s="4496"/>
      <c r="AF11" s="4496"/>
      <c r="AG11" s="4496"/>
      <c r="AH11" s="4496"/>
      <c r="AI11" s="4496"/>
      <c r="AJ11" s="4496"/>
      <c r="AK11" s="4496"/>
      <c r="AL11" s="4496"/>
      <c r="AM11" s="4496"/>
      <c r="AN11" s="4496"/>
    </row>
    <row r="12" spans="1:40" ht="43.5" customHeight="1" x14ac:dyDescent="0.25">
      <c r="A12" s="2053"/>
      <c r="B12" s="2054"/>
      <c r="C12" s="2053"/>
      <c r="D12" s="2054"/>
      <c r="E12" s="4497"/>
      <c r="F12" s="4499"/>
      <c r="G12" s="4501">
        <v>54</v>
      </c>
      <c r="H12" s="3632" t="s">
        <v>1203</v>
      </c>
      <c r="I12" s="3632" t="s">
        <v>1204</v>
      </c>
      <c r="J12" s="4483">
        <v>3</v>
      </c>
      <c r="K12" s="4483" t="s">
        <v>1817</v>
      </c>
      <c r="L12" s="4483" t="s">
        <v>1818</v>
      </c>
      <c r="M12" s="3632" t="s">
        <v>1819</v>
      </c>
      <c r="N12" s="4485">
        <f>+O12/$O$22</f>
        <v>0.11900775829275259</v>
      </c>
      <c r="O12" s="4487">
        <f>+S12</f>
        <v>313916293</v>
      </c>
      <c r="P12" s="3632" t="s">
        <v>1820</v>
      </c>
      <c r="Q12" s="3632" t="s">
        <v>1821</v>
      </c>
      <c r="R12" s="3636" t="s">
        <v>1822</v>
      </c>
      <c r="S12" s="4487">
        <f>+'[1]Seguimiento P.A.'!W19</f>
        <v>313916293</v>
      </c>
      <c r="T12" s="4497">
        <v>3</v>
      </c>
      <c r="U12" s="4505" t="s">
        <v>1823</v>
      </c>
      <c r="V12" s="4503">
        <v>1382.4</v>
      </c>
      <c r="W12" s="4503">
        <v>1317.6</v>
      </c>
      <c r="X12" s="4503">
        <v>459</v>
      </c>
      <c r="Y12" s="4503">
        <v>248</v>
      </c>
      <c r="Z12" s="4503">
        <v>1615</v>
      </c>
      <c r="AA12" s="4503">
        <v>378</v>
      </c>
      <c r="AB12" s="4503"/>
      <c r="AC12" s="4503"/>
      <c r="AD12" s="4503"/>
      <c r="AE12" s="4503"/>
      <c r="AF12" s="4503"/>
      <c r="AG12" s="4503"/>
      <c r="AH12" s="4503"/>
      <c r="AI12" s="4503"/>
      <c r="AJ12" s="4503"/>
      <c r="AK12" s="4503">
        <f>+X12+Y12+Z12+AA12</f>
        <v>2700</v>
      </c>
      <c r="AL12" s="4507">
        <v>43466</v>
      </c>
      <c r="AM12" s="4507">
        <v>43829</v>
      </c>
      <c r="AN12" s="4483" t="s">
        <v>1824</v>
      </c>
    </row>
    <row r="13" spans="1:40" ht="104.25" customHeight="1" x14ac:dyDescent="0.25">
      <c r="A13" s="2053"/>
      <c r="B13" s="2054"/>
      <c r="C13" s="2053"/>
      <c r="D13" s="2054"/>
      <c r="E13" s="4498"/>
      <c r="F13" s="4500"/>
      <c r="G13" s="4502"/>
      <c r="H13" s="3634"/>
      <c r="I13" s="3634"/>
      <c r="J13" s="4484"/>
      <c r="K13" s="4484"/>
      <c r="L13" s="4484"/>
      <c r="M13" s="3634"/>
      <c r="N13" s="4486"/>
      <c r="O13" s="4488"/>
      <c r="P13" s="3634"/>
      <c r="Q13" s="3634"/>
      <c r="R13" s="3638"/>
      <c r="S13" s="4488"/>
      <c r="T13" s="4498"/>
      <c r="U13" s="4506"/>
      <c r="V13" s="4504"/>
      <c r="W13" s="4504"/>
      <c r="X13" s="4504"/>
      <c r="Y13" s="4504"/>
      <c r="Z13" s="4504"/>
      <c r="AA13" s="4504"/>
      <c r="AB13" s="4504"/>
      <c r="AC13" s="4504"/>
      <c r="AD13" s="4504"/>
      <c r="AE13" s="4504"/>
      <c r="AF13" s="4504"/>
      <c r="AG13" s="4504"/>
      <c r="AH13" s="4504"/>
      <c r="AI13" s="4504"/>
      <c r="AJ13" s="4504"/>
      <c r="AK13" s="4504"/>
      <c r="AL13" s="4508"/>
      <c r="AM13" s="4508"/>
      <c r="AN13" s="4484"/>
    </row>
    <row r="14" spans="1:40" ht="21" customHeight="1" x14ac:dyDescent="0.25">
      <c r="A14" s="2050"/>
      <c r="B14" s="2051"/>
      <c r="C14" s="2051"/>
      <c r="D14" s="2050"/>
      <c r="E14" s="2055">
        <v>15</v>
      </c>
      <c r="F14" s="4509" t="s">
        <v>1825</v>
      </c>
      <c r="G14" s="4509"/>
      <c r="H14" s="4509"/>
      <c r="I14" s="4509"/>
      <c r="J14" s="4509"/>
      <c r="K14" s="2056"/>
      <c r="L14" s="2056"/>
      <c r="M14" s="2057"/>
      <c r="N14" s="2056"/>
      <c r="O14" s="2058"/>
      <c r="P14" s="2057"/>
      <c r="Q14" s="2057"/>
      <c r="R14" s="2057"/>
      <c r="S14" s="2058"/>
      <c r="T14" s="2056"/>
      <c r="U14" s="2056"/>
      <c r="V14" s="2056"/>
      <c r="W14" s="2056"/>
      <c r="X14" s="2056"/>
      <c r="Y14" s="2056"/>
      <c r="Z14" s="2056"/>
      <c r="AA14" s="2056"/>
      <c r="AB14" s="2056"/>
      <c r="AC14" s="2056"/>
      <c r="AD14" s="2056"/>
      <c r="AE14" s="2056"/>
      <c r="AF14" s="2056"/>
      <c r="AG14" s="2056"/>
      <c r="AH14" s="2056"/>
      <c r="AI14" s="2056"/>
      <c r="AJ14" s="2056"/>
      <c r="AK14" s="2056"/>
      <c r="AL14" s="2059"/>
      <c r="AM14" s="2059"/>
      <c r="AN14" s="2056"/>
    </row>
    <row r="15" spans="1:40" ht="43.5" customHeight="1" x14ac:dyDescent="0.25">
      <c r="A15" s="2050"/>
      <c r="B15" s="2051"/>
      <c r="C15" s="2051"/>
      <c r="D15" s="2050"/>
      <c r="E15" s="4510"/>
      <c r="F15" s="4510"/>
      <c r="G15" s="4499">
        <v>59</v>
      </c>
      <c r="H15" s="3636" t="s">
        <v>1248</v>
      </c>
      <c r="I15" s="3636" t="s">
        <v>1249</v>
      </c>
      <c r="J15" s="4499">
        <v>10</v>
      </c>
      <c r="K15" s="4499" t="s">
        <v>1817</v>
      </c>
      <c r="L15" s="4499" t="s">
        <v>1818</v>
      </c>
      <c r="M15" s="3636" t="s">
        <v>1819</v>
      </c>
      <c r="N15" s="3147">
        <f>+O15/O22</f>
        <v>0.21729676462374667</v>
      </c>
      <c r="O15" s="4487">
        <f>+S15</f>
        <v>573181075</v>
      </c>
      <c r="P15" s="3636" t="s">
        <v>1820</v>
      </c>
      <c r="Q15" s="3636" t="s">
        <v>1826</v>
      </c>
      <c r="R15" s="3636" t="s">
        <v>1827</v>
      </c>
      <c r="S15" s="4487">
        <f>+'[1]Seguimiento P.A.'!W21</f>
        <v>573181075</v>
      </c>
      <c r="T15" s="4497" t="s">
        <v>1155</v>
      </c>
      <c r="U15" s="4513" t="s">
        <v>1828</v>
      </c>
      <c r="V15" s="4515">
        <f>+[2]Hoja1!$E$12</f>
        <v>284400.12800000003</v>
      </c>
      <c r="W15" s="4515">
        <f>+[2]Hoja1!$D$12</f>
        <v>271068.87199999997</v>
      </c>
      <c r="X15" s="4515">
        <f>+X12</f>
        <v>459</v>
      </c>
      <c r="Y15" s="4515">
        <f>+Y12</f>
        <v>248</v>
      </c>
      <c r="Z15" s="4515">
        <f>+Z12</f>
        <v>1615</v>
      </c>
      <c r="AA15" s="4515">
        <f>+AA12</f>
        <v>378</v>
      </c>
      <c r="AB15" s="4510"/>
      <c r="AC15" s="4510"/>
      <c r="AD15" s="4510"/>
      <c r="AE15" s="4510"/>
      <c r="AF15" s="4510"/>
      <c r="AG15" s="4510"/>
      <c r="AH15" s="4510"/>
      <c r="AI15" s="4510"/>
      <c r="AJ15" s="4510"/>
      <c r="AK15" s="4503">
        <f>+X15+Y15+Z15+AA15</f>
        <v>2700</v>
      </c>
      <c r="AL15" s="4507">
        <v>43466</v>
      </c>
      <c r="AM15" s="4507">
        <v>43829</v>
      </c>
      <c r="AN15" s="4483" t="s">
        <v>1829</v>
      </c>
    </row>
    <row r="16" spans="1:40" ht="58.5" customHeight="1" x14ac:dyDescent="0.25">
      <c r="A16" s="2060"/>
      <c r="B16" s="2054"/>
      <c r="C16" s="2053"/>
      <c r="D16" s="2054"/>
      <c r="E16" s="4511"/>
      <c r="F16" s="4511"/>
      <c r="G16" s="4500"/>
      <c r="H16" s="3638"/>
      <c r="I16" s="3638"/>
      <c r="J16" s="4500"/>
      <c r="K16" s="4500"/>
      <c r="L16" s="4518"/>
      <c r="M16" s="3637"/>
      <c r="N16" s="3149"/>
      <c r="O16" s="4488"/>
      <c r="P16" s="3637"/>
      <c r="Q16" s="3637"/>
      <c r="R16" s="3638"/>
      <c r="S16" s="4488"/>
      <c r="T16" s="4498"/>
      <c r="U16" s="4514"/>
      <c r="V16" s="4516"/>
      <c r="W16" s="4516"/>
      <c r="X16" s="4516"/>
      <c r="Y16" s="4516"/>
      <c r="Z16" s="4516"/>
      <c r="AA16" s="4516"/>
      <c r="AB16" s="4511"/>
      <c r="AC16" s="4511"/>
      <c r="AD16" s="4511"/>
      <c r="AE16" s="4511"/>
      <c r="AF16" s="4511"/>
      <c r="AG16" s="4511"/>
      <c r="AH16" s="4511"/>
      <c r="AI16" s="4511"/>
      <c r="AJ16" s="4511"/>
      <c r="AK16" s="4519"/>
      <c r="AL16" s="4520"/>
      <c r="AM16" s="4520"/>
      <c r="AN16" s="4521"/>
    </row>
    <row r="17" spans="1:40" ht="99.75" x14ac:dyDescent="0.25">
      <c r="A17" s="2060"/>
      <c r="B17" s="2054"/>
      <c r="C17" s="2053"/>
      <c r="D17" s="2054"/>
      <c r="E17" s="4511"/>
      <c r="F17" s="4511"/>
      <c r="G17" s="2061">
        <v>57</v>
      </c>
      <c r="H17" s="2062" t="s">
        <v>1231</v>
      </c>
      <c r="I17" s="2062" t="s">
        <v>1232</v>
      </c>
      <c r="J17" s="2061">
        <v>10</v>
      </c>
      <c r="K17" s="2061" t="s">
        <v>1817</v>
      </c>
      <c r="L17" s="4518"/>
      <c r="M17" s="3637"/>
      <c r="N17" s="2063">
        <f>+O17/O22</f>
        <v>0.21729676462374667</v>
      </c>
      <c r="O17" s="2064">
        <f>+S17</f>
        <v>573181075</v>
      </c>
      <c r="P17" s="3637"/>
      <c r="Q17" s="3637"/>
      <c r="R17" s="2062" t="s">
        <v>1830</v>
      </c>
      <c r="S17" s="2065">
        <f>+'[1]Seguimiento P.A.'!W22</f>
        <v>573181075</v>
      </c>
      <c r="T17" s="2066" t="s">
        <v>1155</v>
      </c>
      <c r="U17" s="2067" t="s">
        <v>1828</v>
      </c>
      <c r="V17" s="4516"/>
      <c r="W17" s="4516"/>
      <c r="X17" s="4516"/>
      <c r="Y17" s="4516"/>
      <c r="Z17" s="4516"/>
      <c r="AA17" s="4516"/>
      <c r="AB17" s="4511"/>
      <c r="AC17" s="4511"/>
      <c r="AD17" s="4511"/>
      <c r="AE17" s="4511"/>
      <c r="AF17" s="4511"/>
      <c r="AG17" s="4511"/>
      <c r="AH17" s="4511"/>
      <c r="AI17" s="4511"/>
      <c r="AJ17" s="4511"/>
      <c r="AK17" s="4519"/>
      <c r="AL17" s="4520"/>
      <c r="AM17" s="4520"/>
      <c r="AN17" s="4521"/>
    </row>
    <row r="18" spans="1:40" ht="60" customHeight="1" x14ac:dyDescent="0.25">
      <c r="A18" s="2060"/>
      <c r="B18" s="2054"/>
      <c r="C18" s="2053"/>
      <c r="D18" s="2054"/>
      <c r="E18" s="4511"/>
      <c r="F18" s="4511"/>
      <c r="G18" s="4499">
        <v>60</v>
      </c>
      <c r="H18" s="3636" t="s">
        <v>1831</v>
      </c>
      <c r="I18" s="3636" t="s">
        <v>1832</v>
      </c>
      <c r="J18" s="4499">
        <v>10</v>
      </c>
      <c r="K18" s="4499" t="s">
        <v>1817</v>
      </c>
      <c r="L18" s="4518"/>
      <c r="M18" s="3637"/>
      <c r="N18" s="4522">
        <f>+O18/O22</f>
        <v>0.11891070054221768</v>
      </c>
      <c r="O18" s="4487">
        <f>+S18</f>
        <v>313660276</v>
      </c>
      <c r="P18" s="3637"/>
      <c r="Q18" s="3637"/>
      <c r="R18" s="3636" t="s">
        <v>1833</v>
      </c>
      <c r="S18" s="4487">
        <f>+'[1]Seguimiento P.A.'!W23</f>
        <v>313660276</v>
      </c>
      <c r="T18" s="4497" t="s">
        <v>1834</v>
      </c>
      <c r="U18" s="4513" t="s">
        <v>1823</v>
      </c>
      <c r="V18" s="4516"/>
      <c r="W18" s="4516"/>
      <c r="X18" s="4516"/>
      <c r="Y18" s="4516"/>
      <c r="Z18" s="4516"/>
      <c r="AA18" s="4516"/>
      <c r="AB18" s="4511"/>
      <c r="AC18" s="4511"/>
      <c r="AD18" s="4511"/>
      <c r="AE18" s="4511"/>
      <c r="AF18" s="4511"/>
      <c r="AG18" s="4511"/>
      <c r="AH18" s="4511"/>
      <c r="AI18" s="4511"/>
      <c r="AJ18" s="4511"/>
      <c r="AK18" s="4519"/>
      <c r="AL18" s="4520"/>
      <c r="AM18" s="4520"/>
      <c r="AN18" s="4521"/>
    </row>
    <row r="19" spans="1:40" ht="60" customHeight="1" x14ac:dyDescent="0.25">
      <c r="A19" s="2060"/>
      <c r="B19" s="2068"/>
      <c r="C19" s="2060"/>
      <c r="D19" s="2069"/>
      <c r="E19" s="4511"/>
      <c r="F19" s="4511"/>
      <c r="G19" s="4500"/>
      <c r="H19" s="3638"/>
      <c r="I19" s="3638"/>
      <c r="J19" s="4500"/>
      <c r="K19" s="4500"/>
      <c r="L19" s="4518"/>
      <c r="M19" s="3637"/>
      <c r="N19" s="4523"/>
      <c r="O19" s="4488"/>
      <c r="P19" s="3637"/>
      <c r="Q19" s="3637"/>
      <c r="R19" s="3638"/>
      <c r="S19" s="4488"/>
      <c r="T19" s="4498"/>
      <c r="U19" s="4514"/>
      <c r="V19" s="4516"/>
      <c r="W19" s="4516"/>
      <c r="X19" s="4516"/>
      <c r="Y19" s="4516"/>
      <c r="Z19" s="4516"/>
      <c r="AA19" s="4516"/>
      <c r="AB19" s="4511"/>
      <c r="AC19" s="4511"/>
      <c r="AD19" s="4511"/>
      <c r="AE19" s="4511"/>
      <c r="AF19" s="4511"/>
      <c r="AG19" s="4511"/>
      <c r="AH19" s="4511"/>
      <c r="AI19" s="4511"/>
      <c r="AJ19" s="4511"/>
      <c r="AK19" s="4519"/>
      <c r="AL19" s="4520"/>
      <c r="AM19" s="4520"/>
      <c r="AN19" s="4521"/>
    </row>
    <row r="20" spans="1:40" ht="37.5" customHeight="1" x14ac:dyDescent="0.25">
      <c r="A20" s="2060"/>
      <c r="B20" s="2068"/>
      <c r="C20" s="2060"/>
      <c r="D20" s="2069"/>
      <c r="E20" s="4511"/>
      <c r="F20" s="4511"/>
      <c r="G20" s="4499">
        <v>63</v>
      </c>
      <c r="H20" s="3636" t="s">
        <v>1264</v>
      </c>
      <c r="I20" s="3636" t="s">
        <v>1265</v>
      </c>
      <c r="J20" s="4499">
        <v>250</v>
      </c>
      <c r="K20" s="4499" t="s">
        <v>1817</v>
      </c>
      <c r="L20" s="4518"/>
      <c r="M20" s="3637"/>
      <c r="N20" s="4522">
        <f>+O20/O22</f>
        <v>0.3274880119175364</v>
      </c>
      <c r="O20" s="4487">
        <f>+S20+S21</f>
        <v>863841351</v>
      </c>
      <c r="P20" s="3637"/>
      <c r="Q20" s="3637"/>
      <c r="R20" s="3636" t="s">
        <v>1835</v>
      </c>
      <c r="S20" s="2065">
        <f>+'[1]Seguimiento P.A.'!W25</f>
        <v>573181075</v>
      </c>
      <c r="T20" s="2066" t="s">
        <v>1155</v>
      </c>
      <c r="U20" s="2067" t="s">
        <v>1828</v>
      </c>
      <c r="V20" s="4516"/>
      <c r="W20" s="4516"/>
      <c r="X20" s="4516"/>
      <c r="Y20" s="4516"/>
      <c r="Z20" s="4516"/>
      <c r="AA20" s="4516"/>
      <c r="AB20" s="4511"/>
      <c r="AC20" s="4511"/>
      <c r="AD20" s="4511"/>
      <c r="AE20" s="4511"/>
      <c r="AF20" s="4511"/>
      <c r="AG20" s="4511"/>
      <c r="AH20" s="4511"/>
      <c r="AI20" s="4511"/>
      <c r="AJ20" s="4511"/>
      <c r="AK20" s="4519"/>
      <c r="AL20" s="4520"/>
      <c r="AM20" s="4520"/>
      <c r="AN20" s="4521"/>
    </row>
    <row r="21" spans="1:40" ht="39" customHeight="1" x14ac:dyDescent="0.25">
      <c r="A21" s="2070"/>
      <c r="B21" s="2071"/>
      <c r="C21" s="2070"/>
      <c r="D21" s="2072"/>
      <c r="E21" s="4512"/>
      <c r="F21" s="4512"/>
      <c r="G21" s="4500"/>
      <c r="H21" s="3638"/>
      <c r="I21" s="3638"/>
      <c r="J21" s="4500"/>
      <c r="K21" s="4500"/>
      <c r="L21" s="4500"/>
      <c r="M21" s="3638"/>
      <c r="N21" s="4523"/>
      <c r="O21" s="4488"/>
      <c r="P21" s="3638"/>
      <c r="Q21" s="3638"/>
      <c r="R21" s="3638"/>
      <c r="S21" s="2065">
        <f>+'[1]Seguimiento P.A.'!W24</f>
        <v>290660276</v>
      </c>
      <c r="T21" s="2066" t="s">
        <v>1834</v>
      </c>
      <c r="U21" s="2067" t="s">
        <v>1823</v>
      </c>
      <c r="V21" s="4517"/>
      <c r="W21" s="4517"/>
      <c r="X21" s="4517"/>
      <c r="Y21" s="4517"/>
      <c r="Z21" s="4517"/>
      <c r="AA21" s="4517"/>
      <c r="AB21" s="4512"/>
      <c r="AC21" s="4512"/>
      <c r="AD21" s="4512"/>
      <c r="AE21" s="4512"/>
      <c r="AF21" s="4512"/>
      <c r="AG21" s="4512"/>
      <c r="AH21" s="4512"/>
      <c r="AI21" s="4512"/>
      <c r="AJ21" s="4512"/>
      <c r="AK21" s="4504"/>
      <c r="AL21" s="4508"/>
      <c r="AM21" s="4508"/>
      <c r="AN21" s="4484"/>
    </row>
    <row r="22" spans="1:40" ht="28.5" customHeight="1" x14ac:dyDescent="0.25">
      <c r="A22" s="3944" t="s">
        <v>1278</v>
      </c>
      <c r="B22" s="3944"/>
      <c r="C22" s="3944"/>
      <c r="D22" s="3944"/>
      <c r="E22" s="3944"/>
      <c r="F22" s="3944"/>
      <c r="G22" s="3944"/>
      <c r="H22" s="3944"/>
      <c r="I22" s="3944"/>
      <c r="J22" s="3944"/>
      <c r="K22" s="3944"/>
      <c r="L22" s="3944"/>
      <c r="M22" s="3944"/>
      <c r="N22" s="3944"/>
      <c r="O22" s="2073">
        <f>SUM(O12:O21)</f>
        <v>2637780070</v>
      </c>
      <c r="P22" s="359"/>
      <c r="Q22" s="364"/>
      <c r="R22" s="364"/>
      <c r="S22" s="2074">
        <f>SUM(S12:S21)</f>
        <v>2637780070</v>
      </c>
      <c r="T22" s="2075"/>
      <c r="U22" s="2075"/>
      <c r="V22" s="2076"/>
      <c r="W22" s="2076"/>
      <c r="X22" s="2076"/>
      <c r="Y22" s="2076"/>
      <c r="Z22" s="2076"/>
      <c r="AA22" s="2076"/>
      <c r="AB22" s="2076"/>
      <c r="AC22" s="2076"/>
      <c r="AD22" s="2076"/>
      <c r="AE22" s="2076"/>
      <c r="AF22" s="2076"/>
      <c r="AG22" s="2076"/>
      <c r="AH22" s="2076"/>
      <c r="AI22" s="2076"/>
      <c r="AJ22" s="2076"/>
      <c r="AK22" s="2076"/>
      <c r="AL22" s="2077"/>
      <c r="AM22" s="2078"/>
      <c r="AN22" s="2079"/>
    </row>
    <row r="23" spans="1:40" ht="15.75" x14ac:dyDescent="0.25">
      <c r="A23" s="386"/>
      <c r="B23" s="386"/>
      <c r="C23" s="386"/>
      <c r="D23" s="386"/>
      <c r="E23" s="864"/>
      <c r="F23" s="386"/>
      <c r="G23" s="864"/>
      <c r="H23" s="386"/>
      <c r="I23" s="386"/>
      <c r="J23" s="386"/>
      <c r="K23" s="386"/>
      <c r="L23" s="386"/>
      <c r="M23" s="386"/>
      <c r="N23" s="2080"/>
      <c r="O23" s="386"/>
      <c r="P23" s="386"/>
      <c r="Q23" s="386"/>
      <c r="R23" s="862"/>
      <c r="S23" s="862"/>
      <c r="T23" s="862"/>
      <c r="U23" s="862"/>
      <c r="V23" s="386"/>
      <c r="W23" s="386"/>
      <c r="X23" s="386"/>
      <c r="Y23" s="386"/>
      <c r="Z23" s="386"/>
      <c r="AA23" s="386"/>
      <c r="AB23" s="386"/>
      <c r="AC23" s="386"/>
      <c r="AD23" s="386"/>
      <c r="AE23" s="386"/>
      <c r="AF23" s="386"/>
      <c r="AG23" s="386"/>
      <c r="AH23" s="386"/>
      <c r="AI23" s="386"/>
      <c r="AJ23" s="386"/>
      <c r="AK23" s="386"/>
      <c r="AL23" s="2081"/>
      <c r="AM23" s="2082"/>
      <c r="AN23" s="386"/>
    </row>
    <row r="24" spans="1:40" ht="15.75" x14ac:dyDescent="0.25">
      <c r="A24" s="386"/>
      <c r="B24" s="386"/>
      <c r="C24" s="386"/>
      <c r="D24" s="386"/>
      <c r="E24" s="864"/>
      <c r="F24" s="386"/>
      <c r="G24" s="864"/>
      <c r="H24" s="386"/>
      <c r="I24" s="386"/>
      <c r="J24" s="386"/>
      <c r="K24" s="386"/>
      <c r="L24" s="386"/>
      <c r="M24" s="386"/>
      <c r="N24" s="2080"/>
      <c r="O24" s="386"/>
      <c r="P24" s="386"/>
      <c r="Q24" s="386"/>
      <c r="R24" s="862"/>
      <c r="S24" s="862"/>
      <c r="T24" s="862"/>
      <c r="U24" s="862"/>
      <c r="V24" s="386"/>
      <c r="W24" s="386"/>
      <c r="X24" s="386"/>
      <c r="Y24" s="386"/>
      <c r="Z24" s="386"/>
      <c r="AA24" s="386"/>
      <c r="AB24" s="386"/>
      <c r="AC24" s="386"/>
      <c r="AD24" s="386"/>
      <c r="AE24" s="386"/>
      <c r="AF24" s="386"/>
      <c r="AG24" s="386"/>
      <c r="AH24" s="386"/>
      <c r="AI24" s="386"/>
      <c r="AJ24" s="386"/>
      <c r="AK24" s="386"/>
      <c r="AL24" s="2081"/>
      <c r="AM24" s="2082"/>
      <c r="AN24" s="386"/>
    </row>
    <row r="25" spans="1:40" ht="15.75" x14ac:dyDescent="0.25">
      <c r="A25" s="386"/>
      <c r="B25" s="386"/>
      <c r="C25" s="386"/>
      <c r="D25" s="386"/>
      <c r="E25" s="864"/>
      <c r="F25" s="386"/>
      <c r="G25" s="864"/>
      <c r="H25" s="386"/>
      <c r="I25" s="386"/>
      <c r="J25" s="386"/>
      <c r="K25" s="386"/>
      <c r="L25" s="386"/>
      <c r="M25" s="386"/>
      <c r="N25" s="2080"/>
      <c r="O25" s="386"/>
      <c r="P25" s="386"/>
      <c r="Q25" s="386"/>
      <c r="R25" s="862"/>
      <c r="S25" s="862"/>
      <c r="T25" s="862"/>
      <c r="U25" s="862"/>
      <c r="V25" s="386"/>
      <c r="W25" s="386"/>
      <c r="X25" s="386"/>
      <c r="Y25" s="386"/>
      <c r="Z25" s="386"/>
      <c r="AA25" s="386"/>
      <c r="AB25" s="386"/>
      <c r="AC25" s="386"/>
      <c r="AD25" s="386"/>
      <c r="AE25" s="386"/>
      <c r="AF25" s="386"/>
      <c r="AG25" s="386"/>
      <c r="AH25" s="386"/>
      <c r="AI25" s="386"/>
      <c r="AJ25" s="386"/>
      <c r="AK25" s="386"/>
      <c r="AL25" s="2081"/>
      <c r="AM25" s="2082"/>
      <c r="AN25" s="386"/>
    </row>
    <row r="26" spans="1:40" ht="15.75" x14ac:dyDescent="0.25">
      <c r="A26" s="386"/>
      <c r="B26" s="386"/>
      <c r="C26" s="386"/>
      <c r="D26" s="386"/>
      <c r="E26" s="864"/>
      <c r="F26" s="386"/>
      <c r="G26" s="864"/>
      <c r="H26" s="386"/>
      <c r="I26" s="386"/>
      <c r="J26" s="386"/>
      <c r="K26" s="386"/>
      <c r="L26" s="386"/>
      <c r="M26" s="386"/>
      <c r="N26" s="2080"/>
      <c r="O26" s="386"/>
      <c r="P26" s="386"/>
      <c r="Q26" s="386"/>
      <c r="R26" s="862"/>
      <c r="S26" s="862"/>
      <c r="T26" s="862"/>
      <c r="U26" s="862"/>
      <c r="V26" s="386"/>
      <c r="W26" s="386"/>
      <c r="X26" s="386"/>
      <c r="Y26" s="386"/>
      <c r="Z26" s="386"/>
      <c r="AA26" s="386"/>
      <c r="AB26" s="386"/>
      <c r="AC26" s="386"/>
      <c r="AD26" s="386"/>
      <c r="AE26" s="386"/>
      <c r="AF26" s="386"/>
      <c r="AG26" s="386"/>
      <c r="AH26" s="386"/>
      <c r="AI26" s="386"/>
      <c r="AJ26" s="386"/>
      <c r="AK26" s="386"/>
      <c r="AL26" s="2081"/>
      <c r="AM26" s="2082"/>
      <c r="AN26" s="386"/>
    </row>
    <row r="27" spans="1:40" ht="15.75" x14ac:dyDescent="0.25">
      <c r="A27" s="386"/>
      <c r="B27" s="386"/>
      <c r="C27" s="386"/>
      <c r="D27" s="386"/>
      <c r="E27" s="864"/>
      <c r="F27" s="386"/>
      <c r="G27" s="864"/>
      <c r="H27" s="386"/>
      <c r="I27" s="386"/>
      <c r="J27" s="386"/>
      <c r="K27" s="386"/>
      <c r="L27" s="386"/>
      <c r="M27" s="386"/>
      <c r="N27" s="2080"/>
      <c r="O27" s="386"/>
      <c r="P27" s="386"/>
      <c r="Q27" s="386"/>
      <c r="R27" s="862"/>
      <c r="S27" s="862"/>
      <c r="T27" s="862"/>
      <c r="U27" s="862"/>
      <c r="V27" s="386"/>
      <c r="W27" s="386"/>
      <c r="X27" s="386"/>
      <c r="Y27" s="386"/>
      <c r="Z27" s="386"/>
      <c r="AA27" s="386"/>
      <c r="AB27" s="386"/>
      <c r="AC27" s="386"/>
      <c r="AD27" s="386"/>
      <c r="AE27" s="386"/>
      <c r="AF27" s="386"/>
      <c r="AG27" s="386"/>
      <c r="AH27" s="386"/>
      <c r="AI27" s="386"/>
      <c r="AJ27" s="386"/>
      <c r="AK27" s="386"/>
      <c r="AL27" s="2081"/>
      <c r="AM27" s="2082"/>
      <c r="AN27" s="386"/>
    </row>
    <row r="28" spans="1:40" ht="15.75" x14ac:dyDescent="0.25">
      <c r="A28" s="386"/>
      <c r="B28" s="386"/>
      <c r="C28" s="386"/>
      <c r="D28" s="386"/>
      <c r="E28" s="864"/>
      <c r="F28" s="386"/>
      <c r="G28" s="864"/>
      <c r="H28" s="386"/>
      <c r="I28" s="386"/>
      <c r="J28" s="386"/>
      <c r="K28" s="386"/>
      <c r="L28" s="386"/>
      <c r="M28" s="386"/>
      <c r="N28" s="2080"/>
      <c r="O28" s="386"/>
      <c r="P28" s="386"/>
      <c r="Q28" s="386"/>
      <c r="R28" s="862"/>
      <c r="S28" s="862"/>
      <c r="T28" s="862"/>
      <c r="U28" s="862"/>
      <c r="V28" s="386"/>
      <c r="W28" s="386"/>
      <c r="X28" s="386"/>
      <c r="Y28" s="386"/>
      <c r="Z28" s="386"/>
      <c r="AA28" s="386"/>
      <c r="AB28" s="386"/>
      <c r="AC28" s="386"/>
      <c r="AD28" s="386"/>
      <c r="AE28" s="386"/>
      <c r="AF28" s="386"/>
      <c r="AG28" s="386"/>
      <c r="AH28" s="386"/>
      <c r="AI28" s="386"/>
      <c r="AJ28" s="386"/>
      <c r="AK28" s="386"/>
      <c r="AL28" s="2081"/>
      <c r="AM28" s="2082"/>
      <c r="AN28" s="386"/>
    </row>
    <row r="29" spans="1:40" ht="15.75" x14ac:dyDescent="0.25">
      <c r="A29" s="386"/>
      <c r="B29" s="386"/>
      <c r="C29" s="386"/>
      <c r="D29" s="386"/>
      <c r="E29" s="864"/>
      <c r="F29" s="386"/>
      <c r="G29" s="864"/>
      <c r="H29" s="386"/>
      <c r="I29" s="386"/>
      <c r="J29" s="386"/>
      <c r="K29" s="386"/>
      <c r="L29" s="386"/>
      <c r="M29" s="386"/>
      <c r="N29" s="2080"/>
      <c r="O29" s="386"/>
      <c r="P29" s="386"/>
      <c r="Q29" s="386"/>
      <c r="R29" s="862"/>
      <c r="S29" s="862"/>
      <c r="T29" s="862"/>
      <c r="U29" s="862"/>
      <c r="V29" s="386"/>
      <c r="W29" s="386"/>
      <c r="X29" s="386"/>
      <c r="Y29" s="386"/>
      <c r="Z29" s="386"/>
      <c r="AA29" s="386"/>
      <c r="AB29" s="386"/>
      <c r="AC29" s="386"/>
      <c r="AD29" s="386"/>
      <c r="AE29" s="386"/>
      <c r="AF29" s="386"/>
      <c r="AG29" s="386"/>
      <c r="AH29" s="386"/>
      <c r="AI29" s="386"/>
      <c r="AJ29" s="386"/>
      <c r="AK29" s="386"/>
      <c r="AL29" s="2081"/>
      <c r="AM29" s="2082"/>
      <c r="AN29" s="386"/>
    </row>
    <row r="30" spans="1:40" ht="15.75" x14ac:dyDescent="0.25">
      <c r="A30" s="386"/>
      <c r="B30" s="386"/>
      <c r="C30" s="386"/>
      <c r="D30" s="386"/>
      <c r="E30" s="864"/>
      <c r="F30" s="386"/>
      <c r="G30" s="864"/>
      <c r="H30" s="386"/>
      <c r="I30" s="386"/>
      <c r="J30" s="386"/>
      <c r="K30" s="386"/>
      <c r="L30" s="386"/>
      <c r="M30" s="386"/>
      <c r="N30" s="2080"/>
      <c r="O30" s="386"/>
      <c r="P30" s="386"/>
      <c r="Q30" s="386"/>
      <c r="R30" s="862"/>
      <c r="S30" s="862"/>
      <c r="T30" s="862"/>
      <c r="U30" s="862"/>
      <c r="V30" s="386"/>
      <c r="W30" s="386"/>
      <c r="X30" s="386"/>
      <c r="Y30" s="386"/>
      <c r="Z30" s="386"/>
      <c r="AA30" s="386"/>
      <c r="AB30" s="386"/>
      <c r="AC30" s="386"/>
      <c r="AD30" s="386"/>
      <c r="AE30" s="386"/>
      <c r="AF30" s="386"/>
      <c r="AG30" s="386"/>
      <c r="AH30" s="386"/>
      <c r="AI30" s="386"/>
      <c r="AJ30" s="386"/>
      <c r="AK30" s="386"/>
      <c r="AL30" s="2081"/>
      <c r="AM30" s="2082"/>
      <c r="AN30" s="386"/>
    </row>
    <row r="31" spans="1:40" ht="15.75" x14ac:dyDescent="0.25">
      <c r="A31" s="386"/>
      <c r="B31" s="386"/>
      <c r="C31" s="386"/>
      <c r="D31" s="386"/>
      <c r="E31" s="864"/>
      <c r="F31" s="386"/>
      <c r="G31" s="864"/>
      <c r="H31" s="386"/>
      <c r="I31" s="386"/>
      <c r="J31" s="386"/>
      <c r="K31" s="386"/>
      <c r="L31" s="386"/>
      <c r="M31" s="386"/>
      <c r="N31" s="2080"/>
      <c r="O31" s="386"/>
      <c r="P31" s="386"/>
      <c r="Q31" s="386"/>
      <c r="R31" s="862"/>
      <c r="S31" s="862"/>
      <c r="T31" s="862"/>
      <c r="U31" s="862"/>
      <c r="V31" s="386"/>
      <c r="W31" s="386"/>
      <c r="X31" s="386"/>
      <c r="Y31" s="386"/>
      <c r="Z31" s="386"/>
      <c r="AA31" s="386"/>
      <c r="AB31" s="386"/>
      <c r="AC31" s="386"/>
      <c r="AD31" s="386"/>
      <c r="AE31" s="386"/>
      <c r="AF31" s="386"/>
      <c r="AG31" s="386"/>
      <c r="AH31" s="386"/>
      <c r="AI31" s="386"/>
      <c r="AJ31" s="386"/>
      <c r="AK31" s="386"/>
      <c r="AL31" s="2081"/>
      <c r="AM31" s="2082"/>
      <c r="AN31" s="386"/>
    </row>
    <row r="32" spans="1:40" ht="15.75" x14ac:dyDescent="0.25">
      <c r="A32" s="386"/>
      <c r="B32" s="386"/>
      <c r="C32" s="386"/>
      <c r="D32" s="386"/>
      <c r="E32" s="864"/>
      <c r="F32" s="386"/>
      <c r="G32" s="864"/>
      <c r="H32" s="386"/>
      <c r="I32" s="386"/>
      <c r="J32" s="386"/>
      <c r="K32" s="386"/>
      <c r="L32" s="386"/>
      <c r="M32" s="386"/>
      <c r="N32" s="2080"/>
      <c r="O32" s="386"/>
      <c r="P32" s="386"/>
      <c r="Q32" s="386"/>
      <c r="R32" s="862"/>
      <c r="S32" s="862"/>
      <c r="T32" s="862"/>
      <c r="U32" s="862"/>
      <c r="V32" s="386"/>
      <c r="W32" s="386"/>
      <c r="X32" s="386"/>
      <c r="Y32" s="386"/>
      <c r="Z32" s="386"/>
      <c r="AA32" s="386"/>
      <c r="AB32" s="386"/>
      <c r="AC32" s="386"/>
      <c r="AD32" s="386"/>
      <c r="AE32" s="386"/>
      <c r="AF32" s="386"/>
      <c r="AG32" s="386"/>
      <c r="AH32" s="386"/>
      <c r="AI32" s="386"/>
      <c r="AJ32" s="386"/>
      <c r="AK32" s="386"/>
      <c r="AL32" s="2081"/>
      <c r="AM32" s="2082"/>
      <c r="AN32" s="386"/>
    </row>
    <row r="33" spans="1:40" ht="15.75" x14ac:dyDescent="0.25">
      <c r="A33" s="386"/>
      <c r="B33" s="386"/>
      <c r="C33" s="386"/>
      <c r="D33" s="386"/>
      <c r="E33" s="864"/>
      <c r="F33" s="386"/>
      <c r="G33" s="864"/>
      <c r="H33" s="386"/>
      <c r="I33" s="386"/>
      <c r="J33" s="386"/>
      <c r="K33" s="386"/>
      <c r="L33" s="386"/>
      <c r="M33" s="386"/>
      <c r="N33" s="2080"/>
      <c r="O33" s="386"/>
      <c r="P33" s="386"/>
      <c r="Q33" s="386"/>
      <c r="R33" s="862"/>
      <c r="S33" s="862"/>
      <c r="T33" s="862"/>
      <c r="U33" s="862"/>
      <c r="V33" s="386"/>
      <c r="W33" s="386"/>
      <c r="X33" s="386"/>
      <c r="Y33" s="386"/>
      <c r="Z33" s="386"/>
      <c r="AA33" s="386"/>
      <c r="AB33" s="386"/>
      <c r="AC33" s="386"/>
      <c r="AD33" s="386"/>
      <c r="AE33" s="386"/>
      <c r="AF33" s="386"/>
      <c r="AG33" s="386"/>
      <c r="AH33" s="386"/>
      <c r="AI33" s="386"/>
      <c r="AJ33" s="386"/>
      <c r="AK33" s="386"/>
      <c r="AL33" s="2081"/>
      <c r="AM33" s="2082"/>
      <c r="AN33" s="386"/>
    </row>
    <row r="34" spans="1:40" ht="15.75" x14ac:dyDescent="0.25">
      <c r="A34" s="386"/>
      <c r="B34" s="386"/>
      <c r="C34" s="386"/>
      <c r="D34" s="386"/>
      <c r="E34" s="864"/>
      <c r="F34" s="386"/>
      <c r="G34" s="864"/>
      <c r="H34" s="386"/>
      <c r="I34" s="386"/>
      <c r="J34" s="386"/>
      <c r="K34" s="386"/>
      <c r="L34" s="386"/>
      <c r="M34" s="386"/>
      <c r="N34" s="2080"/>
      <c r="O34" s="386"/>
      <c r="P34" s="386"/>
      <c r="Q34" s="386"/>
      <c r="R34" s="862"/>
      <c r="S34" s="862"/>
      <c r="T34" s="862"/>
      <c r="U34" s="862"/>
      <c r="V34" s="386"/>
      <c r="W34" s="386"/>
      <c r="X34" s="386"/>
      <c r="Y34" s="386"/>
      <c r="Z34" s="386"/>
      <c r="AA34" s="386"/>
      <c r="AB34" s="386"/>
      <c r="AC34" s="386"/>
      <c r="AD34" s="386"/>
      <c r="AE34" s="386"/>
      <c r="AF34" s="386"/>
      <c r="AG34" s="386"/>
      <c r="AH34" s="386"/>
      <c r="AI34" s="386"/>
      <c r="AJ34" s="386"/>
      <c r="AK34" s="386"/>
      <c r="AL34" s="2081"/>
      <c r="AM34" s="2082"/>
      <c r="AN34" s="386"/>
    </row>
    <row r="35" spans="1:40" ht="15.75" x14ac:dyDescent="0.25">
      <c r="A35" s="386"/>
      <c r="B35" s="386"/>
      <c r="C35" s="386"/>
      <c r="D35" s="386"/>
      <c r="E35" s="864"/>
      <c r="F35" s="386"/>
      <c r="G35" s="864"/>
      <c r="H35" s="386"/>
      <c r="I35" s="386"/>
      <c r="J35" s="386"/>
      <c r="K35" s="386"/>
      <c r="L35" s="386"/>
      <c r="M35" s="386"/>
      <c r="N35" s="2080"/>
      <c r="O35" s="386"/>
      <c r="P35" s="386"/>
      <c r="Q35" s="386"/>
      <c r="R35" s="862"/>
      <c r="S35" s="862"/>
      <c r="T35" s="862"/>
      <c r="U35" s="862"/>
      <c r="V35" s="386"/>
      <c r="W35" s="386"/>
      <c r="X35" s="386"/>
      <c r="Y35" s="386"/>
      <c r="Z35" s="386"/>
      <c r="AA35" s="386"/>
      <c r="AB35" s="386"/>
      <c r="AC35" s="386"/>
      <c r="AD35" s="386"/>
      <c r="AE35" s="386"/>
      <c r="AF35" s="386"/>
      <c r="AG35" s="386"/>
      <c r="AH35" s="386"/>
      <c r="AI35" s="386"/>
      <c r="AJ35" s="386"/>
      <c r="AK35" s="386"/>
      <c r="AL35" s="2081"/>
      <c r="AM35" s="2082"/>
      <c r="AN35" s="386"/>
    </row>
    <row r="36" spans="1:40" ht="15.75" x14ac:dyDescent="0.25">
      <c r="A36" s="386"/>
      <c r="B36" s="386"/>
      <c r="C36" s="386"/>
      <c r="D36" s="386"/>
      <c r="E36" s="864"/>
      <c r="F36" s="386"/>
      <c r="G36" s="864"/>
      <c r="H36" s="386"/>
      <c r="I36" s="386"/>
      <c r="J36" s="386"/>
      <c r="K36" s="386"/>
      <c r="L36" s="386"/>
      <c r="M36" s="386"/>
      <c r="N36" s="2080"/>
      <c r="O36" s="386"/>
      <c r="P36" s="386"/>
      <c r="Q36" s="386"/>
      <c r="R36" s="862"/>
      <c r="S36" s="862"/>
      <c r="T36" s="862"/>
      <c r="U36" s="862"/>
      <c r="V36" s="386"/>
      <c r="W36" s="386"/>
      <c r="X36" s="386"/>
      <c r="Y36" s="386"/>
      <c r="Z36" s="386"/>
      <c r="AA36" s="386"/>
      <c r="AB36" s="386"/>
      <c r="AC36" s="386"/>
      <c r="AD36" s="386"/>
      <c r="AE36" s="386"/>
      <c r="AF36" s="386"/>
      <c r="AG36" s="386"/>
      <c r="AH36" s="386"/>
      <c r="AI36" s="386"/>
      <c r="AJ36" s="386"/>
      <c r="AK36" s="386"/>
      <c r="AL36" s="2081"/>
      <c r="AM36" s="2082"/>
      <c r="AN36" s="386"/>
    </row>
    <row r="37" spans="1:40" ht="16.5" x14ac:dyDescent="0.25">
      <c r="A37" s="2083"/>
      <c r="B37" s="2083"/>
      <c r="C37" s="2083"/>
      <c r="D37" s="2083"/>
      <c r="E37" s="2084"/>
      <c r="F37" s="2083"/>
      <c r="G37" s="2084"/>
      <c r="H37" s="2083"/>
      <c r="I37" s="2083"/>
      <c r="J37" s="2083"/>
      <c r="K37" s="2083"/>
      <c r="L37" s="2083"/>
      <c r="M37" s="2085"/>
      <c r="N37" s="2083"/>
      <c r="O37" s="2083"/>
      <c r="P37" s="2083"/>
      <c r="Q37" s="2086"/>
      <c r="R37" s="2086"/>
      <c r="S37" s="2086"/>
      <c r="T37" s="2083"/>
      <c r="U37" s="2083"/>
      <c r="V37" s="2083"/>
      <c r="W37" s="2083"/>
      <c r="X37" s="2083"/>
      <c r="Y37" s="2083"/>
      <c r="Z37" s="2083"/>
      <c r="AA37" s="2083"/>
      <c r="AB37" s="2083"/>
      <c r="AC37" s="2083"/>
      <c r="AD37" s="2083"/>
      <c r="AE37" s="2083"/>
      <c r="AF37" s="2087"/>
      <c r="AG37" s="2088"/>
      <c r="AH37" s="2089"/>
      <c r="AI37" s="2083"/>
      <c r="AJ37" s="2083"/>
      <c r="AK37" s="2083"/>
      <c r="AL37" s="2083"/>
      <c r="AM37" s="2083"/>
      <c r="AN37" s="2083"/>
    </row>
    <row r="38" spans="1:40" ht="25.5" x14ac:dyDescent="0.35">
      <c r="A38" s="2090" t="s">
        <v>1836</v>
      </c>
      <c r="B38" s="2091"/>
      <c r="C38" s="2091"/>
      <c r="D38" s="2091"/>
      <c r="E38" s="2092"/>
      <c r="F38" s="2091"/>
      <c r="G38" s="2092"/>
      <c r="H38" s="2091"/>
      <c r="I38" s="2091"/>
      <c r="J38" s="2083"/>
      <c r="K38" s="2083"/>
      <c r="L38" s="2083"/>
      <c r="M38" s="2085"/>
      <c r="N38" s="2083"/>
      <c r="O38" s="2083"/>
      <c r="P38" s="2083"/>
      <c r="Q38" s="2086"/>
      <c r="R38" s="2086"/>
      <c r="S38" s="2086"/>
      <c r="T38" s="2083"/>
      <c r="U38" s="2083"/>
      <c r="V38" s="2083"/>
      <c r="W38" s="2083"/>
      <c r="X38" s="2083"/>
      <c r="Y38" s="2083"/>
      <c r="Z38" s="2083"/>
      <c r="AA38" s="2083"/>
      <c r="AB38" s="2083"/>
      <c r="AC38" s="2083"/>
      <c r="AD38" s="2083"/>
      <c r="AE38" s="2083"/>
      <c r="AF38" s="2087"/>
      <c r="AG38" s="2088"/>
      <c r="AH38" s="2089"/>
      <c r="AI38" s="2083"/>
      <c r="AJ38" s="2083"/>
      <c r="AK38" s="2083"/>
      <c r="AL38" s="2083"/>
      <c r="AM38" s="2083"/>
      <c r="AN38" s="2083"/>
    </row>
    <row r="39" spans="1:40" ht="25.5" x14ac:dyDescent="0.35">
      <c r="A39" s="2090" t="s">
        <v>1837</v>
      </c>
      <c r="B39" s="2091"/>
      <c r="C39" s="2091"/>
      <c r="D39" s="2091"/>
      <c r="E39" s="2092"/>
      <c r="F39" s="2091"/>
      <c r="G39" s="2092"/>
      <c r="H39" s="2091"/>
      <c r="I39" s="2091"/>
      <c r="J39" s="2083"/>
      <c r="K39" s="2083"/>
      <c r="L39" s="2083"/>
      <c r="M39" s="2085"/>
      <c r="N39" s="2083"/>
      <c r="O39" s="2083"/>
      <c r="P39" s="2083"/>
      <c r="Q39" s="2086"/>
      <c r="R39" s="2086"/>
      <c r="S39" s="2086"/>
      <c r="T39" s="2083"/>
      <c r="U39" s="2083"/>
      <c r="V39" s="2083"/>
      <c r="W39" s="2083"/>
      <c r="X39" s="2083"/>
      <c r="Y39" s="2083"/>
      <c r="Z39" s="2083"/>
      <c r="AA39" s="2083"/>
      <c r="AB39" s="2083"/>
      <c r="AC39" s="2083"/>
      <c r="AD39" s="2083"/>
      <c r="AE39" s="2083"/>
      <c r="AF39" s="2087"/>
      <c r="AG39" s="2088"/>
      <c r="AH39" s="2089"/>
      <c r="AI39" s="2083"/>
      <c r="AJ39" s="2083"/>
      <c r="AK39" s="2083"/>
      <c r="AL39" s="2083"/>
      <c r="AM39" s="2083"/>
      <c r="AN39" s="2083"/>
    </row>
    <row r="40" spans="1:40" ht="16.5" x14ac:dyDescent="0.25">
      <c r="A40" s="2083"/>
      <c r="B40" s="2083"/>
      <c r="C40" s="2083"/>
      <c r="D40" s="2083"/>
      <c r="E40" s="2084"/>
      <c r="F40" s="2083"/>
      <c r="G40" s="2084"/>
      <c r="H40" s="2083"/>
      <c r="I40" s="2083"/>
      <c r="J40" s="2083"/>
      <c r="K40" s="2083"/>
      <c r="L40" s="2083"/>
      <c r="M40" s="2085"/>
      <c r="N40" s="2083"/>
      <c r="O40" s="2083"/>
      <c r="P40" s="2083"/>
      <c r="Q40" s="2086"/>
      <c r="R40" s="2086"/>
      <c r="S40" s="2086"/>
      <c r="T40" s="2083"/>
      <c r="U40" s="2083"/>
      <c r="V40" s="2083"/>
      <c r="W40" s="2083"/>
      <c r="X40" s="2083"/>
      <c r="Y40" s="2083"/>
      <c r="Z40" s="2083"/>
      <c r="AA40" s="2083"/>
      <c r="AB40" s="2083"/>
      <c r="AC40" s="2083"/>
      <c r="AD40" s="2083"/>
      <c r="AE40" s="2083"/>
      <c r="AF40" s="2087"/>
      <c r="AG40" s="2088"/>
      <c r="AH40" s="2089"/>
      <c r="AI40" s="2083"/>
      <c r="AJ40" s="2083"/>
      <c r="AK40" s="2083"/>
      <c r="AL40" s="2083"/>
      <c r="AM40" s="2083"/>
      <c r="AN40" s="2083"/>
    </row>
    <row r="41" spans="1:40" ht="16.5" x14ac:dyDescent="0.25">
      <c r="A41" s="2083"/>
      <c r="B41" s="2083"/>
      <c r="C41" s="2083"/>
      <c r="D41" s="2083"/>
      <c r="E41" s="2084"/>
      <c r="F41" s="2083"/>
      <c r="G41" s="2084"/>
      <c r="H41" s="2083"/>
      <c r="I41" s="2083"/>
      <c r="J41" s="2083"/>
      <c r="K41" s="2083"/>
      <c r="L41" s="2083"/>
      <c r="M41" s="2085"/>
      <c r="N41" s="2083"/>
      <c r="O41" s="2083"/>
      <c r="P41" s="2083"/>
      <c r="Q41" s="2086"/>
      <c r="R41" s="2086"/>
      <c r="S41" s="2086"/>
      <c r="T41" s="2083"/>
      <c r="U41" s="2083"/>
      <c r="V41" s="2083"/>
      <c r="W41" s="2083"/>
      <c r="X41" s="2083"/>
      <c r="Y41" s="2083"/>
      <c r="Z41" s="2083"/>
      <c r="AA41" s="2083"/>
      <c r="AB41" s="2083"/>
      <c r="AC41" s="2083"/>
      <c r="AD41" s="2083"/>
      <c r="AE41" s="2083"/>
      <c r="AF41" s="2087"/>
      <c r="AG41" s="2088"/>
      <c r="AH41" s="2089"/>
      <c r="AI41" s="2083"/>
      <c r="AJ41" s="2083"/>
      <c r="AK41" s="2083"/>
      <c r="AL41" s="2083"/>
      <c r="AM41" s="2083"/>
      <c r="AN41" s="2083"/>
    </row>
    <row r="42" spans="1:40" ht="18" x14ac:dyDescent="0.25">
      <c r="A42" s="2093" t="s">
        <v>1838</v>
      </c>
      <c r="B42" s="2094"/>
      <c r="C42" s="2094"/>
      <c r="D42" s="2094"/>
      <c r="E42" s="2095"/>
      <c r="F42" s="2094"/>
      <c r="G42" s="2095"/>
      <c r="H42" s="2083"/>
      <c r="I42" s="2083"/>
      <c r="J42" s="2083"/>
      <c r="K42" s="2083"/>
      <c r="L42" s="2083"/>
      <c r="M42" s="2085"/>
      <c r="N42" s="2083"/>
      <c r="O42" s="2083"/>
      <c r="P42" s="2083"/>
      <c r="Q42" s="2086"/>
      <c r="R42" s="2086"/>
      <c r="S42" s="2086"/>
      <c r="T42" s="2083"/>
      <c r="U42" s="2083"/>
      <c r="V42" s="2083"/>
      <c r="W42" s="2083"/>
      <c r="X42" s="2083"/>
      <c r="Y42" s="2083"/>
      <c r="Z42" s="2083"/>
      <c r="AA42" s="2083"/>
      <c r="AB42" s="2083"/>
      <c r="AC42" s="2083"/>
      <c r="AD42" s="2083"/>
      <c r="AE42" s="2083"/>
      <c r="AF42" s="2087"/>
      <c r="AG42" s="2088"/>
      <c r="AH42" s="2089"/>
      <c r="AI42" s="2083"/>
      <c r="AJ42" s="2083"/>
      <c r="AK42" s="2083"/>
      <c r="AL42" s="2083"/>
      <c r="AM42" s="2083"/>
      <c r="AN42" s="2083"/>
    </row>
    <row r="43" spans="1:40" ht="18" x14ac:dyDescent="0.25">
      <c r="A43" s="2093" t="s">
        <v>1839</v>
      </c>
      <c r="B43" s="2094"/>
      <c r="C43" s="2094"/>
      <c r="D43" s="2094"/>
      <c r="E43" s="2095"/>
      <c r="F43" s="2094"/>
      <c r="G43" s="2095"/>
      <c r="H43" s="2083"/>
      <c r="I43" s="2083"/>
      <c r="J43" s="2083"/>
      <c r="K43" s="2083"/>
      <c r="L43" s="2083"/>
      <c r="M43" s="2085"/>
      <c r="N43" s="2083"/>
      <c r="O43" s="2083"/>
      <c r="P43" s="2083"/>
      <c r="Q43" s="2086"/>
      <c r="R43" s="2086"/>
      <c r="S43" s="2086"/>
      <c r="T43" s="2083"/>
      <c r="U43" s="2083"/>
      <c r="V43" s="2083"/>
      <c r="W43" s="2083"/>
      <c r="X43" s="2083"/>
      <c r="Y43" s="2083"/>
      <c r="Z43" s="2083"/>
      <c r="AA43" s="2083"/>
      <c r="AB43" s="2083"/>
      <c r="AC43" s="2083"/>
      <c r="AD43" s="2083"/>
      <c r="AE43" s="2083"/>
      <c r="AF43" s="2087"/>
      <c r="AG43" s="2088"/>
      <c r="AH43" s="2089"/>
      <c r="AI43" s="2083"/>
      <c r="AJ43" s="2083"/>
      <c r="AK43" s="2083"/>
      <c r="AL43" s="2083"/>
      <c r="AM43" s="2083"/>
      <c r="AN43" s="2083"/>
    </row>
  </sheetData>
  <sheetProtection password="F3F4" sheet="1" objects="1" scenarios="1"/>
  <mergeCells count="131">
    <mergeCell ref="A22:N22"/>
    <mergeCell ref="G20:G21"/>
    <mergeCell ref="H20:H21"/>
    <mergeCell ref="I20:I21"/>
    <mergeCell ref="J20:J21"/>
    <mergeCell ref="K20:K21"/>
    <mergeCell ref="N20:N21"/>
    <mergeCell ref="J18:J19"/>
    <mergeCell ref="K18:K19"/>
    <mergeCell ref="N18:N19"/>
    <mergeCell ref="W15:W21"/>
    <mergeCell ref="X15:X21"/>
    <mergeCell ref="Y15:Y21"/>
    <mergeCell ref="Z15:Z21"/>
    <mergeCell ref="AA15:AA21"/>
    <mergeCell ref="AB15:AB21"/>
    <mergeCell ref="Q15:Q21"/>
    <mergeCell ref="R15:R16"/>
    <mergeCell ref="S15:S16"/>
    <mergeCell ref="AI15:AI21"/>
    <mergeCell ref="AJ15:AJ21"/>
    <mergeCell ref="AK15:AK21"/>
    <mergeCell ref="AL15:AL21"/>
    <mergeCell ref="AM15:AM21"/>
    <mergeCell ref="AN15:AN21"/>
    <mergeCell ref="AC15:AC21"/>
    <mergeCell ref="AD15:AD21"/>
    <mergeCell ref="AE15:AE21"/>
    <mergeCell ref="AF15:AF21"/>
    <mergeCell ref="AG15:AG21"/>
    <mergeCell ref="AH15:AH21"/>
    <mergeCell ref="T15:T16"/>
    <mergeCell ref="U15:U16"/>
    <mergeCell ref="V15:V21"/>
    <mergeCell ref="T18:T19"/>
    <mergeCell ref="U18:U19"/>
    <mergeCell ref="R20:R21"/>
    <mergeCell ref="K15:K16"/>
    <mergeCell ref="L15:L21"/>
    <mergeCell ref="M15:M21"/>
    <mergeCell ref="N15:N16"/>
    <mergeCell ref="O15:O16"/>
    <mergeCell ref="P15:P21"/>
    <mergeCell ref="O20:O21"/>
    <mergeCell ref="O18:O19"/>
    <mergeCell ref="R18:R19"/>
    <mergeCell ref="S18:S19"/>
    <mergeCell ref="F14:J14"/>
    <mergeCell ref="E15:E21"/>
    <mergeCell ref="F15:F21"/>
    <mergeCell ref="G15:G16"/>
    <mergeCell ref="H15:H16"/>
    <mergeCell ref="I15:I16"/>
    <mergeCell ref="J15:J16"/>
    <mergeCell ref="G18:G19"/>
    <mergeCell ref="H18:H19"/>
    <mergeCell ref="I18:I19"/>
    <mergeCell ref="AL12:AL13"/>
    <mergeCell ref="AM12:AM13"/>
    <mergeCell ref="AN12:AN13"/>
    <mergeCell ref="AC12:AC13"/>
    <mergeCell ref="AD12:AD13"/>
    <mergeCell ref="AE12:AE13"/>
    <mergeCell ref="AF12:AF13"/>
    <mergeCell ref="AG12:AG13"/>
    <mergeCell ref="AH12:AH13"/>
    <mergeCell ref="B9:D9"/>
    <mergeCell ref="D10:AN10"/>
    <mergeCell ref="F11:AN11"/>
    <mergeCell ref="E12:E13"/>
    <mergeCell ref="F12:F13"/>
    <mergeCell ref="G12:G13"/>
    <mergeCell ref="H12:H13"/>
    <mergeCell ref="I12:I13"/>
    <mergeCell ref="J12:J13"/>
    <mergeCell ref="W12:W13"/>
    <mergeCell ref="X12:X13"/>
    <mergeCell ref="Y12:Y13"/>
    <mergeCell ref="Z12:Z13"/>
    <mergeCell ref="AA12:AA13"/>
    <mergeCell ref="AB12:AB13"/>
    <mergeCell ref="Q12:Q13"/>
    <mergeCell ref="R12:R13"/>
    <mergeCell ref="S12:S13"/>
    <mergeCell ref="T12:T13"/>
    <mergeCell ref="U12:U13"/>
    <mergeCell ref="V12:V13"/>
    <mergeCell ref="AI12:AI13"/>
    <mergeCell ref="AJ12:AJ13"/>
    <mergeCell ref="AK12:AK13"/>
    <mergeCell ref="L7:L8"/>
    <mergeCell ref="M7:M8"/>
    <mergeCell ref="K12:K13"/>
    <mergeCell ref="L12:L13"/>
    <mergeCell ref="M12:M13"/>
    <mergeCell ref="N12:N13"/>
    <mergeCell ref="O12:O13"/>
    <mergeCell ref="P12:P13"/>
    <mergeCell ref="AK7:AK8"/>
    <mergeCell ref="T7:T8"/>
    <mergeCell ref="U7:U8"/>
    <mergeCell ref="V7:W7"/>
    <mergeCell ref="X7:AA7"/>
    <mergeCell ref="AB7:AG7"/>
    <mergeCell ref="AH7:AJ7"/>
    <mergeCell ref="N7:N8"/>
    <mergeCell ref="O7:O8"/>
    <mergeCell ref="B7:B8"/>
    <mergeCell ref="C7:C8"/>
    <mergeCell ref="D7:D8"/>
    <mergeCell ref="E7:E8"/>
    <mergeCell ref="F7:F8"/>
    <mergeCell ref="G7:G8"/>
    <mergeCell ref="A1:AL4"/>
    <mergeCell ref="A5:J6"/>
    <mergeCell ref="K5:AK5"/>
    <mergeCell ref="AL5:AN5"/>
    <mergeCell ref="K6:U6"/>
    <mergeCell ref="V6:AK6"/>
    <mergeCell ref="AL6:AL8"/>
    <mergeCell ref="AM6:AM8"/>
    <mergeCell ref="AN6:AN8"/>
    <mergeCell ref="A7:A8"/>
    <mergeCell ref="P7:P8"/>
    <mergeCell ref="Q7:Q8"/>
    <mergeCell ref="R7:R8"/>
    <mergeCell ref="S7:S8"/>
    <mergeCell ref="H7:H8"/>
    <mergeCell ref="I7:I8"/>
    <mergeCell ref="J7:J8"/>
    <mergeCell ref="K7:K8"/>
  </mergeCell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5"/>
  <sheetViews>
    <sheetView showGridLines="0" zoomScale="70" zoomScaleNormal="70" workbookViewId="0">
      <selection activeCell="L16" sqref="L16:L17"/>
    </sheetView>
  </sheetViews>
  <sheetFormatPr baseColWidth="10" defaultColWidth="11.42578125" defaultRowHeight="14.25" x14ac:dyDescent="0.2"/>
  <cols>
    <col min="1" max="1" width="15.7109375" style="1165" customWidth="1"/>
    <col min="2" max="2" width="8.42578125" style="1165" customWidth="1"/>
    <col min="3" max="3" width="13.85546875" style="1165" customWidth="1"/>
    <col min="4" max="4" width="11" style="1165" customWidth="1"/>
    <col min="5" max="5" width="8" style="1165" customWidth="1"/>
    <col min="6" max="6" width="9" style="1165" customWidth="1"/>
    <col min="7" max="7" width="15.28515625" style="1165" customWidth="1"/>
    <col min="8" max="8" width="23" style="1165" customWidth="1"/>
    <col min="9" max="9" width="1.28515625" style="1165" customWidth="1"/>
    <col min="10" max="10" width="11.7109375" style="1165" customWidth="1"/>
    <col min="11" max="11" width="21.140625" style="1165" customWidth="1"/>
    <col min="12" max="12" width="14.85546875" style="1165" customWidth="1"/>
    <col min="13" max="13" width="17.140625" style="1165" customWidth="1"/>
    <col min="14" max="14" width="23.140625" style="1165" customWidth="1"/>
    <col min="15" max="15" width="8.28515625" style="1165" customWidth="1"/>
    <col min="16" max="16" width="15.28515625" style="1165" customWidth="1"/>
    <col min="17" max="18" width="14.28515625" style="1165" customWidth="1"/>
    <col min="19" max="19" width="17.140625" style="1165" customWidth="1"/>
    <col min="20" max="20" width="22.42578125" style="1165" customWidth="1"/>
    <col min="21" max="21" width="20.28515625" style="1165" customWidth="1"/>
    <col min="22" max="22" width="23.85546875" style="1165" customWidth="1"/>
    <col min="23" max="23" width="10.7109375" style="1165" customWidth="1"/>
    <col min="24" max="24" width="14.85546875" style="1165" customWidth="1"/>
    <col min="25" max="27" width="7.42578125" style="1165" bestFit="1" customWidth="1"/>
    <col min="28" max="28" width="6.28515625" style="1165" bestFit="1" customWidth="1"/>
    <col min="29" max="29" width="7.28515625" style="1165" customWidth="1"/>
    <col min="30" max="30" width="7.42578125" style="1165" bestFit="1" customWidth="1"/>
    <col min="31" max="31" width="6.28515625" style="1165" bestFit="1" customWidth="1"/>
    <col min="32" max="32" width="7.42578125" style="1165" bestFit="1" customWidth="1"/>
    <col min="33" max="33" width="3.42578125" style="1165" bestFit="1" customWidth="1"/>
    <col min="34" max="34" width="3.140625" style="1165" bestFit="1" customWidth="1"/>
    <col min="35" max="35" width="3.42578125" style="1165" bestFit="1" customWidth="1"/>
    <col min="36" max="36" width="3.140625" style="1165" bestFit="1" customWidth="1"/>
    <col min="37" max="37" width="3.42578125" style="1165" bestFit="1" customWidth="1"/>
    <col min="38" max="38" width="3.140625" style="1165" bestFit="1" customWidth="1"/>
    <col min="39" max="39" width="3.42578125" style="1165" bestFit="1" customWidth="1"/>
    <col min="40" max="40" width="3.140625" style="1165" customWidth="1"/>
    <col min="41" max="41" width="3.42578125" style="1165" bestFit="1" customWidth="1"/>
    <col min="42" max="42" width="3.140625" style="1165" bestFit="1" customWidth="1"/>
    <col min="43" max="43" width="3.42578125" style="1165" bestFit="1" customWidth="1"/>
    <col min="44" max="44" width="3.140625" style="1165" bestFit="1" customWidth="1"/>
    <col min="45" max="45" width="3.42578125" style="1165" bestFit="1" customWidth="1"/>
    <col min="46" max="46" width="3.140625" style="1165" bestFit="1" customWidth="1"/>
    <col min="47" max="47" width="12.42578125" style="1165" customWidth="1"/>
    <col min="48" max="48" width="16" style="1165" customWidth="1"/>
    <col min="49" max="49" width="19.85546875" style="1165" customWidth="1"/>
    <col min="50" max="62" width="14.85546875" style="1165" customWidth="1"/>
    <col min="63" max="16384" width="11.42578125" style="1165"/>
  </cols>
  <sheetData>
    <row r="1" spans="1:49" ht="15" customHeight="1" x14ac:dyDescent="0.25">
      <c r="A1" s="4524" t="s">
        <v>1020</v>
      </c>
      <c r="B1" s="4524"/>
      <c r="C1" s="4524"/>
      <c r="D1" s="4524"/>
      <c r="E1" s="4524"/>
      <c r="F1" s="4524"/>
      <c r="G1" s="4524"/>
      <c r="H1" s="4524"/>
      <c r="I1" s="4524"/>
      <c r="J1" s="4524"/>
      <c r="K1" s="4524"/>
      <c r="L1" s="4524"/>
      <c r="M1" s="4524"/>
      <c r="N1" s="4524"/>
      <c r="O1" s="4524"/>
      <c r="P1" s="4524"/>
      <c r="Q1" s="4524"/>
      <c r="R1" s="4524"/>
      <c r="S1" s="4524"/>
      <c r="T1" s="4524"/>
      <c r="U1" s="4524"/>
      <c r="V1" s="4524"/>
      <c r="W1" s="4524"/>
      <c r="X1" s="4524"/>
      <c r="Y1" s="4524"/>
      <c r="Z1" s="4524"/>
      <c r="AA1" s="4524"/>
      <c r="AB1" s="4524"/>
      <c r="AC1" s="4524"/>
      <c r="AD1" s="4524"/>
      <c r="AE1" s="4524"/>
      <c r="AF1" s="4524"/>
      <c r="AG1" s="4524"/>
      <c r="AH1" s="4524"/>
      <c r="AI1" s="4524"/>
      <c r="AJ1" s="4524"/>
      <c r="AK1" s="4524"/>
      <c r="AL1" s="4524"/>
      <c r="AM1" s="4524"/>
      <c r="AN1" s="4524"/>
      <c r="AO1" s="4524"/>
      <c r="AP1" s="4524"/>
      <c r="AQ1" s="4524"/>
      <c r="AR1" s="4524"/>
      <c r="AS1" s="4524"/>
      <c r="AT1" s="4524"/>
      <c r="AU1" s="4525"/>
      <c r="AV1" s="1164" t="s">
        <v>1</v>
      </c>
      <c r="AW1" s="1164" t="s">
        <v>2</v>
      </c>
    </row>
    <row r="2" spans="1:49" ht="15" x14ac:dyDescent="0.25">
      <c r="A2" s="4524"/>
      <c r="B2" s="4524"/>
      <c r="C2" s="4524"/>
      <c r="D2" s="4524"/>
      <c r="E2" s="4524"/>
      <c r="F2" s="4524"/>
      <c r="G2" s="4524"/>
      <c r="H2" s="4524"/>
      <c r="I2" s="4524"/>
      <c r="J2" s="4524"/>
      <c r="K2" s="4524"/>
      <c r="L2" s="4524"/>
      <c r="M2" s="4524"/>
      <c r="N2" s="4524"/>
      <c r="O2" s="4524"/>
      <c r="P2" s="4524"/>
      <c r="Q2" s="4524"/>
      <c r="R2" s="4524"/>
      <c r="S2" s="4524"/>
      <c r="T2" s="4524"/>
      <c r="U2" s="4524"/>
      <c r="V2" s="4524"/>
      <c r="W2" s="4524"/>
      <c r="X2" s="4524"/>
      <c r="Y2" s="4524"/>
      <c r="Z2" s="4524"/>
      <c r="AA2" s="4524"/>
      <c r="AB2" s="4524"/>
      <c r="AC2" s="4524"/>
      <c r="AD2" s="4524"/>
      <c r="AE2" s="4524"/>
      <c r="AF2" s="4524"/>
      <c r="AG2" s="4524"/>
      <c r="AH2" s="4524"/>
      <c r="AI2" s="4524"/>
      <c r="AJ2" s="4524"/>
      <c r="AK2" s="4524"/>
      <c r="AL2" s="4524"/>
      <c r="AM2" s="4524"/>
      <c r="AN2" s="4524"/>
      <c r="AO2" s="4524"/>
      <c r="AP2" s="4524"/>
      <c r="AQ2" s="4524"/>
      <c r="AR2" s="4524"/>
      <c r="AS2" s="4524"/>
      <c r="AT2" s="4524"/>
      <c r="AU2" s="4525"/>
      <c r="AV2" s="1166" t="s">
        <v>3</v>
      </c>
      <c r="AW2" s="1167">
        <v>6</v>
      </c>
    </row>
    <row r="3" spans="1:49" ht="15" x14ac:dyDescent="0.25">
      <c r="A3" s="4524"/>
      <c r="B3" s="4524"/>
      <c r="C3" s="4524"/>
      <c r="D3" s="4524"/>
      <c r="E3" s="4524"/>
      <c r="F3" s="4524"/>
      <c r="G3" s="4524"/>
      <c r="H3" s="4524"/>
      <c r="I3" s="4524"/>
      <c r="J3" s="4524"/>
      <c r="K3" s="4524"/>
      <c r="L3" s="4524"/>
      <c r="M3" s="4524"/>
      <c r="N3" s="4524"/>
      <c r="O3" s="4524"/>
      <c r="P3" s="4524"/>
      <c r="Q3" s="4524"/>
      <c r="R3" s="4524"/>
      <c r="S3" s="4524"/>
      <c r="T3" s="4524"/>
      <c r="U3" s="4524"/>
      <c r="V3" s="4524"/>
      <c r="W3" s="4524"/>
      <c r="X3" s="4524"/>
      <c r="Y3" s="4524"/>
      <c r="Z3" s="4524"/>
      <c r="AA3" s="4524"/>
      <c r="AB3" s="4524"/>
      <c r="AC3" s="4524"/>
      <c r="AD3" s="4524"/>
      <c r="AE3" s="4524"/>
      <c r="AF3" s="4524"/>
      <c r="AG3" s="4524"/>
      <c r="AH3" s="4524"/>
      <c r="AI3" s="4524"/>
      <c r="AJ3" s="4524"/>
      <c r="AK3" s="4524"/>
      <c r="AL3" s="4524"/>
      <c r="AM3" s="4524"/>
      <c r="AN3" s="4524"/>
      <c r="AO3" s="4524"/>
      <c r="AP3" s="4524"/>
      <c r="AQ3" s="4524"/>
      <c r="AR3" s="4524"/>
      <c r="AS3" s="4524"/>
      <c r="AT3" s="4524"/>
      <c r="AU3" s="4525"/>
      <c r="AV3" s="1164" t="s">
        <v>5</v>
      </c>
      <c r="AW3" s="1168" t="s">
        <v>6</v>
      </c>
    </row>
    <row r="4" spans="1:49" s="1170" customFormat="1" ht="15" x14ac:dyDescent="0.2">
      <c r="A4" s="4526"/>
      <c r="B4" s="4526"/>
      <c r="C4" s="4526"/>
      <c r="D4" s="4526"/>
      <c r="E4" s="4526"/>
      <c r="F4" s="4526"/>
      <c r="G4" s="4526"/>
      <c r="H4" s="4526"/>
      <c r="I4" s="4526"/>
      <c r="J4" s="4526"/>
      <c r="K4" s="4526"/>
      <c r="L4" s="4526"/>
      <c r="M4" s="4526"/>
      <c r="N4" s="4526"/>
      <c r="O4" s="4526"/>
      <c r="P4" s="4526"/>
      <c r="Q4" s="4526"/>
      <c r="R4" s="4526"/>
      <c r="S4" s="4526"/>
      <c r="T4" s="4526"/>
      <c r="U4" s="4526"/>
      <c r="V4" s="4526"/>
      <c r="W4" s="4526"/>
      <c r="X4" s="4526"/>
      <c r="Y4" s="4526"/>
      <c r="Z4" s="4526"/>
      <c r="AA4" s="4526"/>
      <c r="AB4" s="4526"/>
      <c r="AC4" s="4526"/>
      <c r="AD4" s="4526"/>
      <c r="AE4" s="4526"/>
      <c r="AF4" s="4526"/>
      <c r="AG4" s="4526"/>
      <c r="AH4" s="4526"/>
      <c r="AI4" s="4526"/>
      <c r="AJ4" s="4526"/>
      <c r="AK4" s="4526"/>
      <c r="AL4" s="4526"/>
      <c r="AM4" s="4526"/>
      <c r="AN4" s="4526"/>
      <c r="AO4" s="4526"/>
      <c r="AP4" s="4526"/>
      <c r="AQ4" s="4526"/>
      <c r="AR4" s="4526"/>
      <c r="AS4" s="4526"/>
      <c r="AT4" s="4526"/>
      <c r="AU4" s="4527"/>
      <c r="AV4" s="154" t="s">
        <v>7</v>
      </c>
      <c r="AW4" s="1169" t="s">
        <v>329</v>
      </c>
    </row>
    <row r="5" spans="1:49" ht="15" x14ac:dyDescent="0.2">
      <c r="A5" s="3539" t="s">
        <v>9</v>
      </c>
      <c r="B5" s="3539"/>
      <c r="C5" s="3539"/>
      <c r="D5" s="3539"/>
      <c r="E5" s="3539"/>
      <c r="F5" s="3539"/>
      <c r="G5" s="3539"/>
      <c r="H5" s="3539"/>
      <c r="I5" s="3539"/>
      <c r="J5" s="3539"/>
      <c r="K5" s="3539"/>
      <c r="L5" s="3539"/>
      <c r="M5" s="3539"/>
      <c r="N5" s="357"/>
      <c r="O5" s="357"/>
      <c r="P5" s="3539" t="s">
        <v>10</v>
      </c>
      <c r="Q5" s="3539"/>
      <c r="R5" s="3539"/>
      <c r="S5" s="3539"/>
      <c r="T5" s="3539"/>
      <c r="U5" s="3539"/>
      <c r="V5" s="3539"/>
      <c r="W5" s="3539"/>
      <c r="X5" s="3539"/>
      <c r="Y5" s="3539"/>
      <c r="Z5" s="3539"/>
      <c r="AA5" s="3539"/>
      <c r="AB5" s="3539"/>
      <c r="AC5" s="3539"/>
      <c r="AD5" s="3539"/>
      <c r="AE5" s="3539"/>
      <c r="AF5" s="3539"/>
      <c r="AG5" s="3539"/>
      <c r="AH5" s="3539"/>
      <c r="AI5" s="3539"/>
      <c r="AJ5" s="3539"/>
      <c r="AK5" s="3539"/>
      <c r="AL5" s="3539"/>
      <c r="AM5" s="3539"/>
      <c r="AN5" s="3539"/>
      <c r="AO5" s="3539"/>
      <c r="AP5" s="3539"/>
      <c r="AQ5" s="3539"/>
      <c r="AR5" s="3539"/>
      <c r="AS5" s="3539"/>
      <c r="AT5" s="3539"/>
      <c r="AU5" s="3539"/>
      <c r="AV5" s="3539"/>
      <c r="AW5" s="3539"/>
    </row>
    <row r="6" spans="1:49" ht="15" x14ac:dyDescent="0.2">
      <c r="A6" s="3539"/>
      <c r="B6" s="3539"/>
      <c r="C6" s="3539"/>
      <c r="D6" s="3539"/>
      <c r="E6" s="3539"/>
      <c r="F6" s="3539"/>
      <c r="G6" s="3539"/>
      <c r="H6" s="3539"/>
      <c r="I6" s="3539"/>
      <c r="J6" s="3539"/>
      <c r="K6" s="3539"/>
      <c r="L6" s="3539"/>
      <c r="M6" s="3539"/>
      <c r="N6" s="357"/>
      <c r="O6" s="1171"/>
      <c r="P6" s="4528"/>
      <c r="Q6" s="4529"/>
      <c r="R6" s="4529"/>
      <c r="S6" s="4529"/>
      <c r="T6" s="4529"/>
      <c r="U6" s="4529"/>
      <c r="V6" s="4529"/>
      <c r="W6" s="4529"/>
      <c r="X6" s="4530"/>
      <c r="Y6" s="1172"/>
      <c r="Z6" s="1172"/>
      <c r="AA6" s="1172"/>
      <c r="AB6" s="1172"/>
      <c r="AC6" s="1172"/>
      <c r="AD6" s="1172"/>
      <c r="AE6" s="1172"/>
      <c r="AF6" s="1172"/>
      <c r="AG6" s="1172"/>
      <c r="AH6" s="1172"/>
      <c r="AI6" s="1172"/>
      <c r="AJ6" s="1172"/>
      <c r="AK6" s="1172"/>
      <c r="AL6" s="1172"/>
      <c r="AM6" s="1172"/>
      <c r="AN6" s="1172"/>
      <c r="AO6" s="1172"/>
      <c r="AP6" s="1172"/>
      <c r="AQ6" s="1172"/>
      <c r="AR6" s="1172"/>
      <c r="AS6" s="1172"/>
      <c r="AT6" s="1172"/>
      <c r="AU6" s="1172"/>
      <c r="AV6" s="4528"/>
      <c r="AW6" s="4530"/>
    </row>
    <row r="7" spans="1:49" s="1173" customFormat="1" ht="12" x14ac:dyDescent="0.2">
      <c r="A7" s="3546" t="s">
        <v>12</v>
      </c>
      <c r="B7" s="3546" t="s">
        <v>13</v>
      </c>
      <c r="C7" s="3546"/>
      <c r="D7" s="3546" t="s">
        <v>12</v>
      </c>
      <c r="E7" s="3546" t="s">
        <v>14</v>
      </c>
      <c r="F7" s="3546"/>
      <c r="G7" s="3546" t="s">
        <v>12</v>
      </c>
      <c r="H7" s="3546" t="s">
        <v>15</v>
      </c>
      <c r="I7" s="3546"/>
      <c r="J7" s="3546" t="s">
        <v>12</v>
      </c>
      <c r="K7" s="3546" t="s">
        <v>16</v>
      </c>
      <c r="L7" s="3546" t="s">
        <v>17</v>
      </c>
      <c r="M7" s="4531" t="s">
        <v>18</v>
      </c>
      <c r="N7" s="3546" t="s">
        <v>19</v>
      </c>
      <c r="O7" s="4247" t="s">
        <v>741</v>
      </c>
      <c r="P7" s="3546" t="s">
        <v>10</v>
      </c>
      <c r="Q7" s="3546" t="s">
        <v>21</v>
      </c>
      <c r="R7" s="3546" t="s">
        <v>22</v>
      </c>
      <c r="S7" s="3546" t="s">
        <v>23</v>
      </c>
      <c r="T7" s="3546" t="s">
        <v>24</v>
      </c>
      <c r="U7" s="3546" t="s">
        <v>25</v>
      </c>
      <c r="V7" s="4531" t="s">
        <v>22</v>
      </c>
      <c r="W7" s="4247" t="s">
        <v>12</v>
      </c>
      <c r="X7" s="3546" t="s">
        <v>26</v>
      </c>
      <c r="Y7" s="4542" t="s">
        <v>27</v>
      </c>
      <c r="Z7" s="4543"/>
      <c r="AA7" s="4533" t="s">
        <v>28</v>
      </c>
      <c r="AB7" s="4534"/>
      <c r="AC7" s="4534"/>
      <c r="AD7" s="4534"/>
      <c r="AE7" s="3581" t="s">
        <v>29</v>
      </c>
      <c r="AF7" s="3582"/>
      <c r="AG7" s="3582"/>
      <c r="AH7" s="3582"/>
      <c r="AI7" s="3582"/>
      <c r="AJ7" s="3582"/>
      <c r="AK7" s="3582"/>
      <c r="AL7" s="3582"/>
      <c r="AM7" s="3582"/>
      <c r="AN7" s="3583"/>
      <c r="AO7" s="4533" t="s">
        <v>30</v>
      </c>
      <c r="AP7" s="4534"/>
      <c r="AQ7" s="4534"/>
      <c r="AR7" s="4534"/>
      <c r="AS7" s="4534"/>
      <c r="AT7" s="4535"/>
      <c r="AU7" s="4489" t="s">
        <v>31</v>
      </c>
      <c r="AV7" s="4536" t="s">
        <v>32</v>
      </c>
      <c r="AW7" s="4258" t="s">
        <v>34</v>
      </c>
    </row>
    <row r="8" spans="1:49" s="1173" customFormat="1" ht="102" customHeight="1" x14ac:dyDescent="0.2">
      <c r="A8" s="3546"/>
      <c r="B8" s="3546"/>
      <c r="C8" s="3546"/>
      <c r="D8" s="3546"/>
      <c r="E8" s="3546"/>
      <c r="F8" s="3546"/>
      <c r="G8" s="3546"/>
      <c r="H8" s="3546"/>
      <c r="I8" s="3546"/>
      <c r="J8" s="3546"/>
      <c r="K8" s="3546"/>
      <c r="L8" s="3546"/>
      <c r="M8" s="4532"/>
      <c r="N8" s="3546"/>
      <c r="O8" s="4248"/>
      <c r="P8" s="3546"/>
      <c r="Q8" s="3546"/>
      <c r="R8" s="3546"/>
      <c r="S8" s="3546"/>
      <c r="T8" s="3546"/>
      <c r="U8" s="3546"/>
      <c r="V8" s="4541"/>
      <c r="W8" s="4248"/>
      <c r="X8" s="3546"/>
      <c r="Y8" s="1174" t="s">
        <v>35</v>
      </c>
      <c r="Z8" s="1175" t="s">
        <v>36</v>
      </c>
      <c r="AA8" s="1174" t="s">
        <v>37</v>
      </c>
      <c r="AB8" s="1174" t="s">
        <v>125</v>
      </c>
      <c r="AC8" s="1174" t="s">
        <v>126</v>
      </c>
      <c r="AD8" s="1174" t="s">
        <v>127</v>
      </c>
      <c r="AE8" s="1174" t="s">
        <v>41</v>
      </c>
      <c r="AF8" s="1174" t="s">
        <v>42</v>
      </c>
      <c r="AG8" s="4538" t="s">
        <v>43</v>
      </c>
      <c r="AH8" s="4538"/>
      <c r="AI8" s="4538" t="s">
        <v>44</v>
      </c>
      <c r="AJ8" s="4538"/>
      <c r="AK8" s="4538" t="s">
        <v>45</v>
      </c>
      <c r="AL8" s="4538"/>
      <c r="AM8" s="4538" t="s">
        <v>46</v>
      </c>
      <c r="AN8" s="4538"/>
      <c r="AO8" s="4538" t="s">
        <v>47</v>
      </c>
      <c r="AP8" s="4538"/>
      <c r="AQ8" s="4538" t="s">
        <v>48</v>
      </c>
      <c r="AR8" s="4538"/>
      <c r="AS8" s="4538" t="s">
        <v>49</v>
      </c>
      <c r="AT8" s="4538"/>
      <c r="AU8" s="4490"/>
      <c r="AV8" s="4537"/>
      <c r="AW8" s="4258"/>
    </row>
    <row r="9" spans="1:49" ht="15" x14ac:dyDescent="0.2">
      <c r="A9" s="1176">
        <v>4</v>
      </c>
      <c r="B9" s="1177" t="s">
        <v>1021</v>
      </c>
      <c r="C9" s="1178"/>
      <c r="D9" s="1178"/>
      <c r="E9" s="1178"/>
      <c r="F9" s="1179"/>
      <c r="G9" s="1179"/>
      <c r="H9" s="1179"/>
      <c r="I9" s="1179"/>
      <c r="J9" s="1179"/>
      <c r="K9" s="1179"/>
      <c r="L9" s="1179"/>
      <c r="M9" s="1179"/>
      <c r="N9" s="1179"/>
      <c r="O9" s="1179"/>
      <c r="P9" s="1179"/>
      <c r="Q9" s="1179"/>
      <c r="R9" s="1179"/>
      <c r="S9" s="1179"/>
      <c r="T9" s="1179"/>
      <c r="U9" s="1179"/>
      <c r="V9" s="1179"/>
      <c r="W9" s="1179"/>
      <c r="X9" s="1179"/>
      <c r="Y9" s="1179"/>
      <c r="Z9" s="1179"/>
      <c r="AA9" s="1179"/>
      <c r="AB9" s="1179"/>
      <c r="AC9" s="1179"/>
      <c r="AD9" s="1179"/>
      <c r="AE9" s="1179"/>
      <c r="AF9" s="1179"/>
      <c r="AG9" s="1179"/>
      <c r="AH9" s="1179"/>
      <c r="AI9" s="1179"/>
      <c r="AJ9" s="1179"/>
      <c r="AK9" s="1179"/>
      <c r="AL9" s="1179"/>
      <c r="AM9" s="1179"/>
      <c r="AN9" s="1179"/>
      <c r="AO9" s="1179"/>
      <c r="AP9" s="1179"/>
      <c r="AQ9" s="1179"/>
      <c r="AR9" s="1179"/>
      <c r="AS9" s="1179"/>
      <c r="AT9" s="1179"/>
      <c r="AU9" s="1179"/>
      <c r="AV9" s="1179"/>
      <c r="AW9" s="1180"/>
    </row>
    <row r="10" spans="1:49" ht="15" x14ac:dyDescent="0.2">
      <c r="A10" s="3557"/>
      <c r="B10" s="3556"/>
      <c r="C10" s="3556"/>
      <c r="D10" s="1181">
        <v>23</v>
      </c>
      <c r="E10" s="1182" t="s">
        <v>1022</v>
      </c>
      <c r="F10" s="1183"/>
      <c r="G10" s="1184"/>
      <c r="H10" s="1183"/>
      <c r="I10" s="1183"/>
      <c r="J10" s="1183"/>
      <c r="K10" s="1183"/>
      <c r="L10" s="1183"/>
      <c r="M10" s="1183"/>
      <c r="N10" s="1183"/>
      <c r="O10" s="1183"/>
      <c r="P10" s="1183"/>
      <c r="Q10" s="1183"/>
      <c r="R10" s="1183"/>
      <c r="S10" s="1183"/>
      <c r="T10" s="1183"/>
      <c r="U10" s="1183"/>
      <c r="V10" s="1183"/>
      <c r="W10" s="1183"/>
      <c r="X10" s="1183"/>
      <c r="Y10" s="1183"/>
      <c r="Z10" s="1183"/>
      <c r="AA10" s="1183"/>
      <c r="AB10" s="1183"/>
      <c r="AC10" s="1183"/>
      <c r="AD10" s="1183"/>
      <c r="AE10" s="1183"/>
      <c r="AF10" s="1183"/>
      <c r="AG10" s="1183"/>
      <c r="AH10" s="1183"/>
      <c r="AI10" s="1183"/>
      <c r="AJ10" s="1183"/>
      <c r="AK10" s="1183"/>
      <c r="AL10" s="1183"/>
      <c r="AM10" s="1183"/>
      <c r="AN10" s="1183"/>
      <c r="AO10" s="1183"/>
      <c r="AP10" s="1183"/>
      <c r="AQ10" s="1183"/>
      <c r="AR10" s="1183"/>
      <c r="AS10" s="1183"/>
      <c r="AT10" s="1183"/>
      <c r="AU10" s="1183"/>
      <c r="AV10" s="1183"/>
      <c r="AW10" s="1185"/>
    </row>
    <row r="11" spans="1:49" ht="15" x14ac:dyDescent="0.2">
      <c r="A11" s="3613"/>
      <c r="B11" s="3556"/>
      <c r="C11" s="3556"/>
      <c r="D11" s="3556"/>
      <c r="E11" s="3556"/>
      <c r="F11" s="3556"/>
      <c r="G11" s="1186">
        <v>77</v>
      </c>
      <c r="H11" s="1187" t="s">
        <v>1023</v>
      </c>
      <c r="I11" s="1188"/>
      <c r="J11" s="1189"/>
      <c r="K11" s="1189"/>
      <c r="L11" s="1189"/>
      <c r="M11" s="1189"/>
      <c r="N11" s="1189"/>
      <c r="O11" s="1189"/>
      <c r="P11" s="1189"/>
      <c r="Q11" s="1189"/>
      <c r="R11" s="1189"/>
      <c r="S11" s="1189"/>
      <c r="T11" s="1189"/>
      <c r="U11" s="1189"/>
      <c r="V11" s="1189"/>
      <c r="W11" s="1189"/>
      <c r="X11" s="1189"/>
      <c r="Y11" s="1189"/>
      <c r="Z11" s="1189"/>
      <c r="AA11" s="1189"/>
      <c r="AB11" s="1189"/>
      <c r="AC11" s="1189"/>
      <c r="AD11" s="1189"/>
      <c r="AE11" s="1189"/>
      <c r="AF11" s="1189"/>
      <c r="AG11" s="1189"/>
      <c r="AH11" s="1189"/>
      <c r="AI11" s="1189"/>
      <c r="AJ11" s="1189"/>
      <c r="AK11" s="1189"/>
      <c r="AL11" s="1189"/>
      <c r="AM11" s="1189"/>
      <c r="AN11" s="1189"/>
      <c r="AO11" s="1189"/>
      <c r="AP11" s="1189"/>
      <c r="AQ11" s="1189"/>
      <c r="AR11" s="1189"/>
      <c r="AS11" s="1189"/>
      <c r="AT11" s="1189"/>
      <c r="AU11" s="1189"/>
      <c r="AV11" s="1189"/>
      <c r="AW11" s="1188"/>
    </row>
    <row r="12" spans="1:49" ht="76.5" customHeight="1" x14ac:dyDescent="0.2">
      <c r="A12" s="3613"/>
      <c r="B12" s="3556"/>
      <c r="C12" s="3556"/>
      <c r="D12" s="3556"/>
      <c r="E12" s="3556"/>
      <c r="F12" s="3556"/>
      <c r="G12" s="3557"/>
      <c r="H12" s="3556"/>
      <c r="I12" s="3556"/>
      <c r="J12" s="3610">
        <v>223</v>
      </c>
      <c r="K12" s="3601" t="s">
        <v>1024</v>
      </c>
      <c r="L12" s="3610" t="s">
        <v>741</v>
      </c>
      <c r="M12" s="3610">
        <v>1</v>
      </c>
      <c r="N12" s="4544">
        <v>607000000</v>
      </c>
      <c r="O12" s="4453"/>
      <c r="P12" s="4546" t="s">
        <v>1025</v>
      </c>
      <c r="Q12" s="4539">
        <f>R12/N12</f>
        <v>0.94892915980230641</v>
      </c>
      <c r="R12" s="4550">
        <f>'[3]Metas y Proyectos'!O16+'[3]Metas y Proyectos'!O17</f>
        <v>576000000</v>
      </c>
      <c r="S12" s="4556" t="s">
        <v>1026</v>
      </c>
      <c r="T12" s="4552" t="s">
        <v>1027</v>
      </c>
      <c r="U12" s="4548" t="s">
        <v>1028</v>
      </c>
      <c r="V12" s="1190">
        <f>'[3]Metas y Proyectos'!O16</f>
        <v>476000000</v>
      </c>
      <c r="W12" s="1191">
        <v>88</v>
      </c>
      <c r="X12" s="1192" t="s">
        <v>1029</v>
      </c>
      <c r="Y12" s="3610">
        <v>57041</v>
      </c>
      <c r="Z12" s="3610">
        <v>57731</v>
      </c>
      <c r="AA12" s="3610">
        <v>27907</v>
      </c>
      <c r="AB12" s="3610">
        <v>8963</v>
      </c>
      <c r="AC12" s="3610">
        <v>60564</v>
      </c>
      <c r="AD12" s="3610">
        <v>17338</v>
      </c>
      <c r="AE12" s="3610">
        <v>2145</v>
      </c>
      <c r="AF12" s="3610">
        <v>12718</v>
      </c>
      <c r="AG12" s="3610"/>
      <c r="AH12" s="3610"/>
      <c r="AI12" s="3610"/>
      <c r="AJ12" s="3610"/>
      <c r="AK12" s="3610"/>
      <c r="AL12" s="3610"/>
      <c r="AM12" s="3610"/>
      <c r="AN12" s="3610"/>
      <c r="AO12" s="3610"/>
      <c r="AP12" s="3610"/>
      <c r="AQ12" s="3610"/>
      <c r="AR12" s="3610"/>
      <c r="AS12" s="3610"/>
      <c r="AT12" s="3610"/>
      <c r="AU12" s="3610"/>
      <c r="AV12" s="4555">
        <v>43466</v>
      </c>
      <c r="AW12" s="3183" t="s">
        <v>1030</v>
      </c>
    </row>
    <row r="13" spans="1:49" ht="58.5" customHeight="1" x14ac:dyDescent="0.2">
      <c r="A13" s="3613"/>
      <c r="B13" s="3557"/>
      <c r="C13" s="3557"/>
      <c r="D13" s="3557"/>
      <c r="E13" s="3557"/>
      <c r="F13" s="3556"/>
      <c r="G13" s="3613"/>
      <c r="H13" s="3556"/>
      <c r="I13" s="3556"/>
      <c r="J13" s="3612"/>
      <c r="K13" s="3603"/>
      <c r="L13" s="3612"/>
      <c r="M13" s="3612"/>
      <c r="N13" s="4545"/>
      <c r="O13" s="4453"/>
      <c r="P13" s="4546"/>
      <c r="Q13" s="4540"/>
      <c r="R13" s="4551"/>
      <c r="S13" s="4556"/>
      <c r="T13" s="4557"/>
      <c r="U13" s="4549"/>
      <c r="V13" s="1190">
        <f>'[3]Metas y Proyectos'!O17</f>
        <v>100000000</v>
      </c>
      <c r="W13" s="1191">
        <v>23</v>
      </c>
      <c r="X13" s="1192" t="s">
        <v>1031</v>
      </c>
      <c r="Y13" s="3611"/>
      <c r="Z13" s="3611"/>
      <c r="AA13" s="3611"/>
      <c r="AB13" s="3611"/>
      <c r="AC13" s="3611"/>
      <c r="AD13" s="3611"/>
      <c r="AE13" s="3611"/>
      <c r="AF13" s="3611"/>
      <c r="AG13" s="3611"/>
      <c r="AH13" s="3611"/>
      <c r="AI13" s="3611"/>
      <c r="AJ13" s="3611"/>
      <c r="AK13" s="3611"/>
      <c r="AL13" s="3611"/>
      <c r="AM13" s="3611"/>
      <c r="AN13" s="3611"/>
      <c r="AO13" s="3611"/>
      <c r="AP13" s="3611"/>
      <c r="AQ13" s="3611"/>
      <c r="AR13" s="3611"/>
      <c r="AS13" s="3611"/>
      <c r="AT13" s="3611"/>
      <c r="AU13" s="3611"/>
      <c r="AV13" s="4555"/>
      <c r="AW13" s="3183"/>
    </row>
    <row r="14" spans="1:49" ht="63.75" customHeight="1" x14ac:dyDescent="0.2">
      <c r="A14" s="3613"/>
      <c r="B14" s="3557"/>
      <c r="C14" s="3557"/>
      <c r="D14" s="3557"/>
      <c r="E14" s="3557"/>
      <c r="F14" s="3556"/>
      <c r="G14" s="3613"/>
      <c r="H14" s="3556"/>
      <c r="I14" s="3556"/>
      <c r="J14" s="3610">
        <v>224</v>
      </c>
      <c r="K14" s="4547" t="s">
        <v>1032</v>
      </c>
      <c r="L14" s="3610" t="s">
        <v>741</v>
      </c>
      <c r="M14" s="3610">
        <v>1</v>
      </c>
      <c r="N14" s="4545"/>
      <c r="O14" s="4453"/>
      <c r="P14" s="4546"/>
      <c r="Q14" s="4539">
        <f>R14/N12</f>
        <v>3.459637561779242E-2</v>
      </c>
      <c r="R14" s="4550">
        <f>'[3]Metas y Proyectos'!O19+'[3]Metas y Proyectos'!O18</f>
        <v>21000000</v>
      </c>
      <c r="S14" s="4556"/>
      <c r="T14" s="4557"/>
      <c r="U14" s="4548" t="s">
        <v>1033</v>
      </c>
      <c r="V14" s="1193">
        <f>'[3]Metas y Proyectos'!O18</f>
        <v>14800000</v>
      </c>
      <c r="W14" s="1191">
        <v>88</v>
      </c>
      <c r="X14" s="1192" t="s">
        <v>1029</v>
      </c>
      <c r="Y14" s="3611"/>
      <c r="Z14" s="3611"/>
      <c r="AA14" s="3611"/>
      <c r="AB14" s="3611"/>
      <c r="AC14" s="3611"/>
      <c r="AD14" s="3611"/>
      <c r="AE14" s="3611"/>
      <c r="AF14" s="3611"/>
      <c r="AG14" s="3611"/>
      <c r="AH14" s="3611"/>
      <c r="AI14" s="3611"/>
      <c r="AJ14" s="3611"/>
      <c r="AK14" s="3611"/>
      <c r="AL14" s="3611"/>
      <c r="AM14" s="3611"/>
      <c r="AN14" s="3611"/>
      <c r="AO14" s="3611"/>
      <c r="AP14" s="3611"/>
      <c r="AQ14" s="3611"/>
      <c r="AR14" s="3611"/>
      <c r="AS14" s="3611"/>
      <c r="AT14" s="3611"/>
      <c r="AU14" s="3611"/>
      <c r="AV14" s="4555"/>
      <c r="AW14" s="3183"/>
    </row>
    <row r="15" spans="1:49" ht="63.75" customHeight="1" x14ac:dyDescent="0.2">
      <c r="A15" s="3613"/>
      <c r="B15" s="3557"/>
      <c r="C15" s="3557"/>
      <c r="D15" s="3557"/>
      <c r="E15" s="3557"/>
      <c r="F15" s="3556"/>
      <c r="G15" s="3613"/>
      <c r="H15" s="3557"/>
      <c r="I15" s="3557"/>
      <c r="J15" s="3612"/>
      <c r="K15" s="4554"/>
      <c r="L15" s="3612"/>
      <c r="M15" s="3612"/>
      <c r="N15" s="4545"/>
      <c r="O15" s="3610"/>
      <c r="P15" s="4547"/>
      <c r="Q15" s="4540"/>
      <c r="R15" s="4551"/>
      <c r="S15" s="4552"/>
      <c r="T15" s="4553"/>
      <c r="U15" s="4549"/>
      <c r="V15" s="1193">
        <f>'[3]Metas y Proyectos'!O19</f>
        <v>6200000</v>
      </c>
      <c r="W15" s="1191">
        <v>23</v>
      </c>
      <c r="X15" s="1192" t="s">
        <v>1031</v>
      </c>
      <c r="Y15" s="3611"/>
      <c r="Z15" s="3611"/>
      <c r="AA15" s="3611"/>
      <c r="AB15" s="3611"/>
      <c r="AC15" s="3611"/>
      <c r="AD15" s="3611"/>
      <c r="AE15" s="3611"/>
      <c r="AF15" s="3611"/>
      <c r="AG15" s="3611"/>
      <c r="AH15" s="3611"/>
      <c r="AI15" s="3611"/>
      <c r="AJ15" s="3611"/>
      <c r="AK15" s="3611"/>
      <c r="AL15" s="3611"/>
      <c r="AM15" s="3611"/>
      <c r="AN15" s="3611"/>
      <c r="AO15" s="3611"/>
      <c r="AP15" s="3611"/>
      <c r="AQ15" s="3611"/>
      <c r="AR15" s="3611"/>
      <c r="AS15" s="3611"/>
      <c r="AT15" s="3611"/>
      <c r="AU15" s="3611"/>
      <c r="AV15" s="4555"/>
      <c r="AW15" s="3183"/>
    </row>
    <row r="16" spans="1:49" ht="63.75" customHeight="1" x14ac:dyDescent="0.2">
      <c r="A16" s="3613"/>
      <c r="B16" s="3557"/>
      <c r="C16" s="3557"/>
      <c r="D16" s="3557"/>
      <c r="E16" s="3557"/>
      <c r="F16" s="3556"/>
      <c r="G16" s="3613"/>
      <c r="H16" s="3557"/>
      <c r="I16" s="3557"/>
      <c r="J16" s="3610">
        <v>225</v>
      </c>
      <c r="K16" s="4547" t="s">
        <v>1034</v>
      </c>
      <c r="L16" s="3610" t="s">
        <v>741</v>
      </c>
      <c r="M16" s="3610">
        <v>1</v>
      </c>
      <c r="N16" s="4545"/>
      <c r="O16" s="3610"/>
      <c r="P16" s="4547"/>
      <c r="Q16" s="4539">
        <f>R16/N12</f>
        <v>1.6474464579901153E-2</v>
      </c>
      <c r="R16" s="4550">
        <f>'[3]Metas y Proyectos'!O20+'[3]Metas y Proyectos'!O21</f>
        <v>10000000</v>
      </c>
      <c r="S16" s="4552"/>
      <c r="T16" s="4552" t="s">
        <v>1035</v>
      </c>
      <c r="U16" s="4548" t="s">
        <v>1036</v>
      </c>
      <c r="V16" s="1194">
        <f>'[3]Metas y Proyectos'!O20</f>
        <v>9200000</v>
      </c>
      <c r="W16" s="1191">
        <v>88</v>
      </c>
      <c r="X16" s="1192" t="s">
        <v>1029</v>
      </c>
      <c r="Y16" s="3611"/>
      <c r="Z16" s="3611"/>
      <c r="AA16" s="3611"/>
      <c r="AB16" s="3611"/>
      <c r="AC16" s="3611"/>
      <c r="AD16" s="3611"/>
      <c r="AE16" s="3611"/>
      <c r="AF16" s="3611"/>
      <c r="AG16" s="3611"/>
      <c r="AH16" s="3611"/>
      <c r="AI16" s="3611"/>
      <c r="AJ16" s="3611"/>
      <c r="AK16" s="3611"/>
      <c r="AL16" s="3611"/>
      <c r="AM16" s="3611"/>
      <c r="AN16" s="3611"/>
      <c r="AO16" s="3611"/>
      <c r="AP16" s="3611"/>
      <c r="AQ16" s="3611"/>
      <c r="AR16" s="3611"/>
      <c r="AS16" s="3611"/>
      <c r="AT16" s="3611"/>
      <c r="AU16" s="3611"/>
      <c r="AV16" s="4555"/>
      <c r="AW16" s="3183"/>
    </row>
    <row r="17" spans="1:49" ht="70.5" customHeight="1" thickBot="1" x14ac:dyDescent="0.25">
      <c r="A17" s="3613"/>
      <c r="B17" s="3557"/>
      <c r="C17" s="3557"/>
      <c r="D17" s="3557"/>
      <c r="E17" s="3557"/>
      <c r="F17" s="3556"/>
      <c r="G17" s="3613"/>
      <c r="H17" s="3557"/>
      <c r="I17" s="3557"/>
      <c r="J17" s="3612"/>
      <c r="K17" s="4554"/>
      <c r="L17" s="3612"/>
      <c r="M17" s="3612"/>
      <c r="N17" s="4545"/>
      <c r="O17" s="3610"/>
      <c r="P17" s="4547"/>
      <c r="Q17" s="4540"/>
      <c r="R17" s="4551"/>
      <c r="S17" s="4552"/>
      <c r="T17" s="4553"/>
      <c r="U17" s="4549"/>
      <c r="V17" s="1194">
        <f>'[3]Metas y Proyectos'!O21</f>
        <v>800000</v>
      </c>
      <c r="W17" s="1191">
        <v>23</v>
      </c>
      <c r="X17" s="1192" t="s">
        <v>1031</v>
      </c>
      <c r="Y17" s="3612"/>
      <c r="Z17" s="3612"/>
      <c r="AA17" s="3612"/>
      <c r="AB17" s="3612"/>
      <c r="AC17" s="3612"/>
      <c r="AD17" s="3612"/>
      <c r="AE17" s="3612"/>
      <c r="AF17" s="3612"/>
      <c r="AG17" s="3612"/>
      <c r="AH17" s="3612"/>
      <c r="AI17" s="3612"/>
      <c r="AJ17" s="3612"/>
      <c r="AK17" s="3612"/>
      <c r="AL17" s="3612"/>
      <c r="AM17" s="3612"/>
      <c r="AN17" s="3612"/>
      <c r="AO17" s="3612"/>
      <c r="AP17" s="3612"/>
      <c r="AQ17" s="3612"/>
      <c r="AR17" s="3612"/>
      <c r="AS17" s="3612"/>
      <c r="AT17" s="3612"/>
      <c r="AU17" s="3612"/>
      <c r="AV17" s="4555"/>
      <c r="AW17" s="3183"/>
    </row>
    <row r="18" spans="1:49" s="1205" customFormat="1" ht="15.75" thickBot="1" x14ac:dyDescent="0.3">
      <c r="A18" s="1195"/>
      <c r="B18" s="1196"/>
      <c r="C18" s="1196"/>
      <c r="D18" s="1196"/>
      <c r="E18" s="1197"/>
      <c r="F18" s="1198"/>
      <c r="G18" s="4558" t="s">
        <v>325</v>
      </c>
      <c r="H18" s="4558"/>
      <c r="I18" s="4558"/>
      <c r="J18" s="4558"/>
      <c r="K18" s="4558"/>
      <c r="L18" s="4558"/>
      <c r="M18" s="4558"/>
      <c r="N18" s="4558"/>
      <c r="O18" s="4558"/>
      <c r="P18" s="4558"/>
      <c r="Q18" s="4558"/>
      <c r="R18" s="1199"/>
      <c r="S18" s="154"/>
      <c r="T18" s="154"/>
      <c r="U18" s="368"/>
      <c r="V18" s="1200">
        <f>SUM(V12:V17)</f>
        <v>607000000</v>
      </c>
      <c r="W18" s="1201"/>
      <c r="X18" s="1202"/>
      <c r="Y18" s="1202"/>
      <c r="Z18" s="1202"/>
      <c r="AA18" s="1202"/>
      <c r="AB18" s="1202"/>
      <c r="AC18" s="1202"/>
      <c r="AD18" s="1202"/>
      <c r="AE18" s="1202"/>
      <c r="AF18" s="1202"/>
      <c r="AG18" s="1202"/>
      <c r="AH18" s="1202"/>
      <c r="AI18" s="1202"/>
      <c r="AJ18" s="1202"/>
      <c r="AK18" s="1202"/>
      <c r="AL18" s="1202"/>
      <c r="AM18" s="1202"/>
      <c r="AN18" s="1202"/>
      <c r="AO18" s="1202"/>
      <c r="AP18" s="1202"/>
      <c r="AQ18" s="1202"/>
      <c r="AR18" s="1202"/>
      <c r="AS18" s="1202"/>
      <c r="AT18" s="1202"/>
      <c r="AU18" s="1202"/>
      <c r="AV18" s="1203"/>
      <c r="AW18" s="1204"/>
    </row>
    <row r="19" spans="1:49" ht="14.25" customHeight="1" x14ac:dyDescent="0.2">
      <c r="R19" s="1206"/>
    </row>
    <row r="20" spans="1:49" ht="15" x14ac:dyDescent="0.25">
      <c r="R20" s="1207"/>
      <c r="V20"/>
    </row>
    <row r="21" spans="1:49" x14ac:dyDescent="0.2">
      <c r="V21" s="1207"/>
    </row>
    <row r="24" spans="1:49" ht="15" x14ac:dyDescent="0.25">
      <c r="M24" s="1208"/>
      <c r="N24" s="1209"/>
      <c r="O24" s="1209"/>
    </row>
    <row r="25" spans="1:49" ht="15" x14ac:dyDescent="0.25">
      <c r="M25" s="1210" t="s">
        <v>1037</v>
      </c>
      <c r="N25" s="1210"/>
    </row>
  </sheetData>
  <sheetProtection password="F3F4" sheet="1" objects="1" scenarios="1"/>
  <mergeCells count="99">
    <mergeCell ref="AF12:AF17"/>
    <mergeCell ref="R12:R13"/>
    <mergeCell ref="S12:S17"/>
    <mergeCell ref="T12:T15"/>
    <mergeCell ref="G18:Q18"/>
    <mergeCell ref="J16:J17"/>
    <mergeCell ref="K16:K17"/>
    <mergeCell ref="L16:L17"/>
    <mergeCell ref="M16:M17"/>
    <mergeCell ref="Q16:Q17"/>
    <mergeCell ref="AA12:AA17"/>
    <mergeCell ref="AB12:AB17"/>
    <mergeCell ref="AC12:AC17"/>
    <mergeCell ref="AD12:AD17"/>
    <mergeCell ref="AE12:AE17"/>
    <mergeCell ref="AS12:AS17"/>
    <mergeCell ref="AT12:AT17"/>
    <mergeCell ref="AU12:AU17"/>
    <mergeCell ref="AV12:AV17"/>
    <mergeCell ref="AK12:AK17"/>
    <mergeCell ref="AL12:AL17"/>
    <mergeCell ref="AW12:AW17"/>
    <mergeCell ref="J14:J15"/>
    <mergeCell ref="K14:K15"/>
    <mergeCell ref="L14:L15"/>
    <mergeCell ref="M14:M15"/>
    <mergeCell ref="Q14:Q15"/>
    <mergeCell ref="AM12:AM17"/>
    <mergeCell ref="AN12:AN17"/>
    <mergeCell ref="AO12:AO17"/>
    <mergeCell ref="AP12:AP17"/>
    <mergeCell ref="AQ12:AQ17"/>
    <mergeCell ref="AR12:AR17"/>
    <mergeCell ref="AG12:AG17"/>
    <mergeCell ref="AH12:AH17"/>
    <mergeCell ref="AI12:AI17"/>
    <mergeCell ref="AJ12:AJ17"/>
    <mergeCell ref="U12:U13"/>
    <mergeCell ref="Y12:Y17"/>
    <mergeCell ref="Z12:Z17"/>
    <mergeCell ref="R14:R15"/>
    <mergeCell ref="U14:U15"/>
    <mergeCell ref="T16:T17"/>
    <mergeCell ref="U16:U17"/>
    <mergeCell ref="R16:R17"/>
    <mergeCell ref="L12:L13"/>
    <mergeCell ref="M12:M13"/>
    <mergeCell ref="N12:N17"/>
    <mergeCell ref="O12:O17"/>
    <mergeCell ref="P12:P17"/>
    <mergeCell ref="Q12:Q13"/>
    <mergeCell ref="AQ8:AR8"/>
    <mergeCell ref="AS8:AT8"/>
    <mergeCell ref="A10:A17"/>
    <mergeCell ref="B10:C17"/>
    <mergeCell ref="D11:D17"/>
    <mergeCell ref="E11:F17"/>
    <mergeCell ref="G12:G17"/>
    <mergeCell ref="H12:I17"/>
    <mergeCell ref="J12:J13"/>
    <mergeCell ref="K12:K13"/>
    <mergeCell ref="U7:U8"/>
    <mergeCell ref="V7:V8"/>
    <mergeCell ref="W7:W8"/>
    <mergeCell ref="X7:X8"/>
    <mergeCell ref="Y7:Z7"/>
    <mergeCell ref="AE7:AN7"/>
    <mergeCell ref="AO7:AT7"/>
    <mergeCell ref="AU7:AU8"/>
    <mergeCell ref="AV7:AV8"/>
    <mergeCell ref="AW7:AW8"/>
    <mergeCell ref="AG8:AH8"/>
    <mergeCell ref="AI8:AJ8"/>
    <mergeCell ref="AK8:AL8"/>
    <mergeCell ref="AM8:AN8"/>
    <mergeCell ref="AO8:AP8"/>
    <mergeCell ref="AA7:AD7"/>
    <mergeCell ref="O7:O8"/>
    <mergeCell ref="P7:P8"/>
    <mergeCell ref="Q7:Q8"/>
    <mergeCell ref="R7:R8"/>
    <mergeCell ref="S7:S8"/>
    <mergeCell ref="T7:T8"/>
    <mergeCell ref="N7:N8"/>
    <mergeCell ref="A1:AU4"/>
    <mergeCell ref="A5:M6"/>
    <mergeCell ref="P5:AW5"/>
    <mergeCell ref="P6:X6"/>
    <mergeCell ref="AV6:AW6"/>
    <mergeCell ref="A7:A8"/>
    <mergeCell ref="B7:C8"/>
    <mergeCell ref="D7:D8"/>
    <mergeCell ref="E7:F8"/>
    <mergeCell ref="G7:G8"/>
    <mergeCell ref="H7:I8"/>
    <mergeCell ref="J7:J8"/>
    <mergeCell ref="K7:K8"/>
    <mergeCell ref="L7:L8"/>
    <mergeCell ref="M7:M8"/>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52"/>
  <sheetViews>
    <sheetView showGridLines="0" topLeftCell="D1" zoomScale="60" zoomScaleNormal="60" workbookViewId="0">
      <selection activeCell="H13" sqref="H13"/>
    </sheetView>
  </sheetViews>
  <sheetFormatPr baseColWidth="10" defaultColWidth="20.5703125" defaultRowHeight="39.75" customHeight="1" x14ac:dyDescent="0.2"/>
  <cols>
    <col min="1" max="1" width="18.28515625" style="1899" customWidth="1"/>
    <col min="2" max="2" width="9.5703125" style="1050" customWidth="1"/>
    <col min="3" max="4" width="16.28515625" style="1050" customWidth="1"/>
    <col min="5" max="5" width="16.85546875" style="1050" customWidth="1"/>
    <col min="6" max="6" width="11.7109375" style="1050" customWidth="1"/>
    <col min="7" max="7" width="12.5703125" style="1050" customWidth="1"/>
    <col min="8" max="8" width="9.7109375" style="1050" customWidth="1"/>
    <col min="9" max="9" width="20.7109375" style="1050" customWidth="1"/>
    <col min="10" max="10" width="18.5703125" style="1053" customWidth="1"/>
    <col min="11" max="11" width="42.7109375" style="1157" customWidth="1"/>
    <col min="12" max="12" width="31.28515625" style="1146" customWidth="1"/>
    <col min="13" max="13" width="21.42578125" style="1146" customWidth="1"/>
    <col min="14" max="14" width="39.5703125" style="1160" customWidth="1"/>
    <col min="15" max="15" width="21.28515625" style="1160" customWidth="1"/>
    <col min="16" max="16" width="31.85546875" style="1157" customWidth="1"/>
    <col min="17" max="17" width="18.28515625" style="1924" customWidth="1"/>
    <col min="18" max="18" width="27.7109375" style="1925" customWidth="1"/>
    <col min="19" max="19" width="53.140625" style="1157" customWidth="1"/>
    <col min="20" max="20" width="58" style="1157" customWidth="1"/>
    <col min="21" max="21" width="70.85546875" style="1157" customWidth="1"/>
    <col min="22" max="22" width="28" style="1929" customWidth="1"/>
    <col min="23" max="23" width="15.5703125" style="1156" customWidth="1"/>
    <col min="24" max="24" width="20.7109375" style="1740" customWidth="1"/>
    <col min="25" max="25" width="10.5703125" style="884" customWidth="1"/>
    <col min="26" max="26" width="14.85546875" style="1152" customWidth="1"/>
    <col min="27" max="39" width="10.5703125" style="884" customWidth="1"/>
    <col min="40" max="40" width="17" style="884" bestFit="1" customWidth="1"/>
    <col min="41" max="41" width="18.42578125" style="1158" customWidth="1"/>
    <col min="42" max="42" width="20.140625" style="1159" customWidth="1"/>
    <col min="43" max="43" width="27.28515625" style="883" customWidth="1"/>
    <col min="44" max="16384" width="20.5703125" style="884"/>
  </cols>
  <sheetData>
    <row r="1" spans="1:63" ht="20.25" customHeight="1" x14ac:dyDescent="0.2">
      <c r="A1" s="2590" t="s">
        <v>1554</v>
      </c>
      <c r="B1" s="2590"/>
      <c r="C1" s="2590"/>
      <c r="D1" s="2590"/>
      <c r="E1" s="2590"/>
      <c r="F1" s="2590"/>
      <c r="G1" s="2590"/>
      <c r="H1" s="2590"/>
      <c r="I1" s="2590"/>
      <c r="J1" s="2590"/>
      <c r="K1" s="2590"/>
      <c r="L1" s="2590"/>
      <c r="M1" s="2590"/>
      <c r="N1" s="2590"/>
      <c r="O1" s="2590"/>
      <c r="P1" s="2590"/>
      <c r="Q1" s="2590"/>
      <c r="R1" s="2590"/>
      <c r="S1" s="2590"/>
      <c r="T1" s="2590"/>
      <c r="U1" s="2590"/>
      <c r="V1" s="2590"/>
      <c r="W1" s="2590"/>
      <c r="X1" s="2590"/>
      <c r="Y1" s="2590"/>
      <c r="Z1" s="2590"/>
      <c r="AA1" s="2590"/>
      <c r="AB1" s="2590"/>
      <c r="AC1" s="2590"/>
      <c r="AD1" s="2590"/>
      <c r="AE1" s="2590"/>
      <c r="AF1" s="2590"/>
      <c r="AG1" s="2590"/>
      <c r="AH1" s="2590"/>
      <c r="AI1" s="2590"/>
      <c r="AJ1" s="2590"/>
      <c r="AK1" s="2590"/>
      <c r="AL1" s="2590"/>
      <c r="AM1" s="2590"/>
      <c r="AN1" s="2590"/>
      <c r="AO1" s="2590"/>
      <c r="AP1" s="1060" t="s">
        <v>1</v>
      </c>
      <c r="AQ1" s="1060" t="s">
        <v>2</v>
      </c>
      <c r="AR1" s="1056"/>
      <c r="AS1" s="1056"/>
      <c r="AT1" s="1056"/>
      <c r="AU1" s="1056"/>
      <c r="AV1" s="1056"/>
      <c r="AW1" s="1056"/>
      <c r="AX1" s="1056"/>
      <c r="AY1" s="1056"/>
      <c r="AZ1" s="1056"/>
      <c r="BA1" s="1056"/>
      <c r="BB1" s="1056"/>
      <c r="BC1" s="1056"/>
      <c r="BD1" s="1056"/>
      <c r="BE1" s="1056"/>
      <c r="BF1" s="1056"/>
      <c r="BG1" s="1056"/>
      <c r="BH1" s="1056"/>
      <c r="BI1" s="1056"/>
      <c r="BJ1" s="1056"/>
      <c r="BK1" s="1056"/>
    </row>
    <row r="2" spans="1:63" ht="24.75" customHeight="1" x14ac:dyDescent="0.2">
      <c r="A2" s="2590"/>
      <c r="B2" s="2590"/>
      <c r="C2" s="2590"/>
      <c r="D2" s="2590"/>
      <c r="E2" s="2590"/>
      <c r="F2" s="2590"/>
      <c r="G2" s="2590"/>
      <c r="H2" s="2590"/>
      <c r="I2" s="2590"/>
      <c r="J2" s="2590"/>
      <c r="K2" s="2590"/>
      <c r="L2" s="2590"/>
      <c r="M2" s="2590"/>
      <c r="N2" s="2590"/>
      <c r="O2" s="2590"/>
      <c r="P2" s="2590"/>
      <c r="Q2" s="2590"/>
      <c r="R2" s="2590"/>
      <c r="S2" s="2590"/>
      <c r="T2" s="2590"/>
      <c r="U2" s="2590"/>
      <c r="V2" s="2590"/>
      <c r="W2" s="2590"/>
      <c r="X2" s="2590"/>
      <c r="Y2" s="2590"/>
      <c r="Z2" s="2590"/>
      <c r="AA2" s="2590"/>
      <c r="AB2" s="2590"/>
      <c r="AC2" s="2590"/>
      <c r="AD2" s="2590"/>
      <c r="AE2" s="2590"/>
      <c r="AF2" s="2590"/>
      <c r="AG2" s="2590"/>
      <c r="AH2" s="2590"/>
      <c r="AI2" s="2590"/>
      <c r="AJ2" s="2590"/>
      <c r="AK2" s="2590"/>
      <c r="AL2" s="2590"/>
      <c r="AM2" s="2590"/>
      <c r="AN2" s="2590"/>
      <c r="AO2" s="2590"/>
      <c r="AP2" s="1058" t="s">
        <v>3</v>
      </c>
      <c r="AQ2" s="1060" t="s">
        <v>123</v>
      </c>
      <c r="AR2" s="1056"/>
      <c r="AS2" s="1056"/>
      <c r="AT2" s="1056"/>
      <c r="AU2" s="1056"/>
      <c r="AV2" s="1056"/>
      <c r="AW2" s="1056"/>
      <c r="AX2" s="1056"/>
      <c r="AY2" s="1056"/>
      <c r="AZ2" s="1056"/>
      <c r="BA2" s="1056"/>
      <c r="BB2" s="1056"/>
      <c r="BC2" s="1056"/>
      <c r="BD2" s="1056"/>
      <c r="BE2" s="1056"/>
      <c r="BF2" s="1056"/>
      <c r="BG2" s="1056"/>
      <c r="BH2" s="1056"/>
      <c r="BI2" s="1056"/>
      <c r="BJ2" s="1056"/>
      <c r="BK2" s="1056"/>
    </row>
    <row r="3" spans="1:63" ht="13.5" customHeight="1" x14ac:dyDescent="0.2">
      <c r="A3" s="2590"/>
      <c r="B3" s="2590"/>
      <c r="C3" s="2590"/>
      <c r="D3" s="2590"/>
      <c r="E3" s="2590"/>
      <c r="F3" s="2590"/>
      <c r="G3" s="2590"/>
      <c r="H3" s="2590"/>
      <c r="I3" s="2590"/>
      <c r="J3" s="2590"/>
      <c r="K3" s="2590"/>
      <c r="L3" s="2590"/>
      <c r="M3" s="2590"/>
      <c r="N3" s="2590"/>
      <c r="O3" s="2590"/>
      <c r="P3" s="2590"/>
      <c r="Q3" s="2590"/>
      <c r="R3" s="2590"/>
      <c r="S3" s="2590"/>
      <c r="T3" s="2590"/>
      <c r="U3" s="2590"/>
      <c r="V3" s="2590"/>
      <c r="W3" s="2590"/>
      <c r="X3" s="2590"/>
      <c r="Y3" s="2590"/>
      <c r="Z3" s="2590"/>
      <c r="AA3" s="2590"/>
      <c r="AB3" s="2590"/>
      <c r="AC3" s="2590"/>
      <c r="AD3" s="2590"/>
      <c r="AE3" s="2590"/>
      <c r="AF3" s="2590"/>
      <c r="AG3" s="2590"/>
      <c r="AH3" s="2590"/>
      <c r="AI3" s="2590"/>
      <c r="AJ3" s="2590"/>
      <c r="AK3" s="2590"/>
      <c r="AL3" s="2590"/>
      <c r="AM3" s="2590"/>
      <c r="AN3" s="2590"/>
      <c r="AO3" s="2590"/>
      <c r="AP3" s="1060" t="s">
        <v>5</v>
      </c>
      <c r="AQ3" s="1735" t="s">
        <v>6</v>
      </c>
      <c r="AR3" s="1056"/>
      <c r="AS3" s="1056"/>
      <c r="AT3" s="1056"/>
      <c r="AU3" s="1056"/>
      <c r="AV3" s="1056"/>
      <c r="AW3" s="1056"/>
      <c r="AX3" s="1056"/>
      <c r="AY3" s="1056"/>
      <c r="AZ3" s="1056"/>
      <c r="BA3" s="1056"/>
      <c r="BB3" s="1056"/>
      <c r="BC3" s="1056"/>
      <c r="BD3" s="1056"/>
      <c r="BE3" s="1056"/>
      <c r="BF3" s="1056"/>
      <c r="BG3" s="1056"/>
      <c r="BH3" s="1056"/>
      <c r="BI3" s="1056"/>
      <c r="BJ3" s="1056"/>
      <c r="BK3" s="1056"/>
    </row>
    <row r="4" spans="1:63" ht="20.25" customHeight="1" x14ac:dyDescent="0.2">
      <c r="A4" s="2591"/>
      <c r="B4" s="2591"/>
      <c r="C4" s="2591"/>
      <c r="D4" s="2591"/>
      <c r="E4" s="2591"/>
      <c r="F4" s="2591"/>
      <c r="G4" s="2591"/>
      <c r="H4" s="2591"/>
      <c r="I4" s="2591"/>
      <c r="J4" s="2591"/>
      <c r="K4" s="2591"/>
      <c r="L4" s="2591"/>
      <c r="M4" s="2591"/>
      <c r="N4" s="2591"/>
      <c r="O4" s="2591"/>
      <c r="P4" s="2591"/>
      <c r="Q4" s="2591"/>
      <c r="R4" s="2591"/>
      <c r="S4" s="2591"/>
      <c r="T4" s="2591"/>
      <c r="U4" s="2591"/>
      <c r="V4" s="2591"/>
      <c r="W4" s="2591"/>
      <c r="X4" s="2591"/>
      <c r="Y4" s="2591"/>
      <c r="Z4" s="2591"/>
      <c r="AA4" s="2591"/>
      <c r="AB4" s="2591"/>
      <c r="AC4" s="2591"/>
      <c r="AD4" s="2591"/>
      <c r="AE4" s="2591"/>
      <c r="AF4" s="2591"/>
      <c r="AG4" s="2591"/>
      <c r="AH4" s="2591"/>
      <c r="AI4" s="2591"/>
      <c r="AJ4" s="2591"/>
      <c r="AK4" s="2591"/>
      <c r="AL4" s="2591"/>
      <c r="AM4" s="2591"/>
      <c r="AN4" s="2591"/>
      <c r="AO4" s="2591"/>
      <c r="AP4" s="1060" t="s">
        <v>7</v>
      </c>
      <c r="AQ4" s="1736" t="s">
        <v>8</v>
      </c>
      <c r="AR4" s="1056"/>
      <c r="AS4" s="1056"/>
      <c r="AT4" s="1056"/>
      <c r="AU4" s="1056"/>
      <c r="AV4" s="1056"/>
      <c r="AW4" s="1056"/>
      <c r="AX4" s="1056"/>
      <c r="AY4" s="1056"/>
      <c r="AZ4" s="1056"/>
      <c r="BA4" s="1056"/>
      <c r="BB4" s="1056"/>
      <c r="BC4" s="1056"/>
      <c r="BD4" s="1056"/>
      <c r="BE4" s="1056"/>
      <c r="BF4" s="1056"/>
      <c r="BG4" s="1056"/>
      <c r="BH4" s="1056"/>
      <c r="BI4" s="1056"/>
      <c r="BJ4" s="1056"/>
      <c r="BK4" s="1056"/>
    </row>
    <row r="5" spans="1:63" ht="58.5" customHeight="1" x14ac:dyDescent="0.2">
      <c r="A5" s="2592" t="s">
        <v>9</v>
      </c>
      <c r="B5" s="2592"/>
      <c r="C5" s="2592"/>
      <c r="D5" s="2592"/>
      <c r="E5" s="2592"/>
      <c r="F5" s="2592"/>
      <c r="G5" s="2592"/>
      <c r="H5" s="2592"/>
      <c r="I5" s="2592"/>
      <c r="J5" s="2592"/>
      <c r="K5" s="2592"/>
      <c r="L5" s="2592"/>
      <c r="M5" s="2592"/>
      <c r="N5" s="2593" t="s">
        <v>10</v>
      </c>
      <c r="O5" s="2593"/>
      <c r="P5" s="2593"/>
      <c r="Q5" s="2593"/>
      <c r="R5" s="2593"/>
      <c r="S5" s="2593"/>
      <c r="T5" s="2593"/>
      <c r="U5" s="2593"/>
      <c r="V5" s="2593"/>
      <c r="W5" s="2593"/>
      <c r="X5" s="2593"/>
      <c r="Y5" s="2593"/>
      <c r="Z5" s="2593"/>
      <c r="AA5" s="2593"/>
      <c r="AB5" s="2593"/>
      <c r="AC5" s="2593"/>
      <c r="AD5" s="2593"/>
      <c r="AE5" s="2593"/>
      <c r="AF5" s="2593"/>
      <c r="AG5" s="2593"/>
      <c r="AH5" s="2593"/>
      <c r="AI5" s="2593"/>
      <c r="AJ5" s="2593"/>
      <c r="AK5" s="2593"/>
      <c r="AL5" s="2593"/>
      <c r="AM5" s="2593"/>
      <c r="AN5" s="2593"/>
      <c r="AO5" s="2593"/>
      <c r="AP5" s="2593"/>
      <c r="AQ5" s="2593"/>
      <c r="AR5" s="1056"/>
      <c r="AS5" s="1056"/>
      <c r="AT5" s="1056"/>
      <c r="AU5" s="1056"/>
      <c r="AV5" s="1056"/>
      <c r="AW5" s="1056"/>
      <c r="AX5" s="1056"/>
      <c r="AY5" s="1056"/>
      <c r="AZ5" s="1056"/>
      <c r="BA5" s="1056"/>
      <c r="BB5" s="1056"/>
      <c r="BC5" s="1056"/>
      <c r="BD5" s="1056"/>
      <c r="BE5" s="1056"/>
      <c r="BF5" s="1056"/>
      <c r="BG5" s="1056"/>
      <c r="BH5" s="1056"/>
      <c r="BI5" s="1056"/>
      <c r="BJ5" s="1056"/>
      <c r="BK5" s="1056"/>
    </row>
    <row r="6" spans="1:63" ht="27.75" customHeight="1" x14ac:dyDescent="0.2">
      <c r="A6" s="2594" t="s">
        <v>12</v>
      </c>
      <c r="B6" s="2596" t="s">
        <v>13</v>
      </c>
      <c r="C6" s="2597"/>
      <c r="D6" s="2600" t="s">
        <v>12</v>
      </c>
      <c r="E6" s="2596" t="s">
        <v>14</v>
      </c>
      <c r="F6" s="2597"/>
      <c r="G6" s="2600" t="s">
        <v>12</v>
      </c>
      <c r="H6" s="2596" t="s">
        <v>15</v>
      </c>
      <c r="I6" s="2597"/>
      <c r="J6" s="2600" t="s">
        <v>12</v>
      </c>
      <c r="K6" s="2600" t="s">
        <v>16</v>
      </c>
      <c r="L6" s="2600" t="s">
        <v>17</v>
      </c>
      <c r="M6" s="2596" t="s">
        <v>18</v>
      </c>
      <c r="N6" s="2600" t="s">
        <v>19</v>
      </c>
      <c r="O6" s="2600" t="s">
        <v>20</v>
      </c>
      <c r="P6" s="2600" t="s">
        <v>10</v>
      </c>
      <c r="Q6" s="2614" t="s">
        <v>21</v>
      </c>
      <c r="R6" s="2616" t="s">
        <v>22</v>
      </c>
      <c r="S6" s="2600" t="s">
        <v>23</v>
      </c>
      <c r="T6" s="2600" t="s">
        <v>24</v>
      </c>
      <c r="U6" s="2600" t="s">
        <v>25</v>
      </c>
      <c r="V6" s="2618" t="s">
        <v>22</v>
      </c>
      <c r="W6" s="2594" t="s">
        <v>12</v>
      </c>
      <c r="X6" s="2600" t="s">
        <v>26</v>
      </c>
      <c r="Y6" s="2606" t="s">
        <v>27</v>
      </c>
      <c r="Z6" s="2607"/>
      <c r="AA6" s="2608" t="s">
        <v>28</v>
      </c>
      <c r="AB6" s="2609"/>
      <c r="AC6" s="2609"/>
      <c r="AD6" s="2609"/>
      <c r="AE6" s="2610" t="s">
        <v>29</v>
      </c>
      <c r="AF6" s="2611"/>
      <c r="AG6" s="2611"/>
      <c r="AH6" s="2611"/>
      <c r="AI6" s="2611"/>
      <c r="AJ6" s="2611"/>
      <c r="AK6" s="2612" t="s">
        <v>30</v>
      </c>
      <c r="AL6" s="2613"/>
      <c r="AM6" s="2613"/>
      <c r="AN6" s="2624" t="s">
        <v>31</v>
      </c>
      <c r="AO6" s="2626" t="s">
        <v>32</v>
      </c>
      <c r="AP6" s="2626" t="s">
        <v>33</v>
      </c>
      <c r="AQ6" s="2602" t="s">
        <v>34</v>
      </c>
      <c r="AR6" s="1056"/>
      <c r="AS6" s="1056"/>
      <c r="AT6" s="1056"/>
      <c r="AU6" s="1056"/>
      <c r="AV6" s="1056"/>
      <c r="AW6" s="1056"/>
      <c r="AX6" s="1056"/>
      <c r="AY6" s="1056"/>
      <c r="AZ6" s="1056"/>
      <c r="BA6" s="1056"/>
      <c r="BB6" s="1056"/>
      <c r="BC6" s="1056"/>
      <c r="BD6" s="1056"/>
      <c r="BE6" s="1056"/>
      <c r="BF6" s="1056"/>
      <c r="BG6" s="1056"/>
      <c r="BH6" s="1056"/>
      <c r="BI6" s="1056"/>
      <c r="BJ6" s="1056"/>
      <c r="BK6" s="1056"/>
    </row>
    <row r="7" spans="1:63" s="1053" customFormat="1" ht="130.5" customHeight="1" x14ac:dyDescent="0.25">
      <c r="A7" s="2595"/>
      <c r="B7" s="2598"/>
      <c r="C7" s="2599"/>
      <c r="D7" s="2601"/>
      <c r="E7" s="2598"/>
      <c r="F7" s="2599"/>
      <c r="G7" s="2601"/>
      <c r="H7" s="2598"/>
      <c r="I7" s="2599"/>
      <c r="J7" s="2601"/>
      <c r="K7" s="2601"/>
      <c r="L7" s="2601"/>
      <c r="M7" s="2620"/>
      <c r="N7" s="2601"/>
      <c r="O7" s="2601"/>
      <c r="P7" s="2601"/>
      <c r="Q7" s="2615"/>
      <c r="R7" s="2617"/>
      <c r="S7" s="2601"/>
      <c r="T7" s="2601"/>
      <c r="U7" s="2601"/>
      <c r="V7" s="2619"/>
      <c r="W7" s="2595"/>
      <c r="X7" s="2601"/>
      <c r="Y7" s="1737" t="s">
        <v>35</v>
      </c>
      <c r="Z7" s="1738" t="s">
        <v>36</v>
      </c>
      <c r="AA7" s="1737" t="s">
        <v>37</v>
      </c>
      <c r="AB7" s="1737" t="s">
        <v>125</v>
      </c>
      <c r="AC7" s="1737" t="s">
        <v>126</v>
      </c>
      <c r="AD7" s="1737" t="s">
        <v>127</v>
      </c>
      <c r="AE7" s="1737" t="s">
        <v>41</v>
      </c>
      <c r="AF7" s="1737" t="s">
        <v>42</v>
      </c>
      <c r="AG7" s="1737" t="s">
        <v>43</v>
      </c>
      <c r="AH7" s="1737" t="s">
        <v>44</v>
      </c>
      <c r="AI7" s="1737" t="s">
        <v>45</v>
      </c>
      <c r="AJ7" s="1737" t="s">
        <v>1555</v>
      </c>
      <c r="AK7" s="1739" t="s">
        <v>47</v>
      </c>
      <c r="AL7" s="1739" t="s">
        <v>48</v>
      </c>
      <c r="AM7" s="1739" t="s">
        <v>49</v>
      </c>
      <c r="AN7" s="2625"/>
      <c r="AO7" s="2627"/>
      <c r="AP7" s="2627"/>
      <c r="AQ7" s="2603"/>
      <c r="AR7" s="1740"/>
      <c r="AS7" s="1740"/>
      <c r="AT7" s="1740"/>
      <c r="AU7" s="1740"/>
      <c r="AV7" s="1740"/>
      <c r="AW7" s="1740"/>
      <c r="AX7" s="1740"/>
      <c r="AY7" s="1740"/>
      <c r="AZ7" s="1740"/>
      <c r="BA7" s="1740"/>
      <c r="BB7" s="1740"/>
      <c r="BC7" s="1740"/>
      <c r="BD7" s="1740"/>
      <c r="BE7" s="1740"/>
      <c r="BF7" s="1740"/>
      <c r="BG7" s="1740"/>
      <c r="BH7" s="1740"/>
      <c r="BI7" s="1740"/>
      <c r="BJ7" s="1740"/>
      <c r="BK7" s="1740"/>
    </row>
    <row r="8" spans="1:63" ht="28.5" customHeight="1" x14ac:dyDescent="0.2">
      <c r="A8" s="1741">
        <v>5</v>
      </c>
      <c r="B8" s="2604" t="s">
        <v>50</v>
      </c>
      <c r="C8" s="2604"/>
      <c r="D8" s="2604"/>
      <c r="E8" s="2604"/>
      <c r="F8" s="2604"/>
      <c r="G8" s="2604"/>
      <c r="H8" s="2604"/>
      <c r="I8" s="2604"/>
      <c r="J8" s="2604"/>
      <c r="K8" s="2604"/>
      <c r="L8" s="1080"/>
      <c r="M8" s="1080"/>
      <c r="N8" s="1081"/>
      <c r="O8" s="1081"/>
      <c r="P8" s="1080"/>
      <c r="Q8" s="1742"/>
      <c r="R8" s="1743"/>
      <c r="S8" s="1080"/>
      <c r="T8" s="1080"/>
      <c r="U8" s="1744"/>
      <c r="V8" s="1745"/>
      <c r="W8" s="1085"/>
      <c r="X8" s="1081"/>
      <c r="Y8" s="1078"/>
      <c r="Z8" s="1746"/>
      <c r="AA8" s="1078"/>
      <c r="AB8" s="1078"/>
      <c r="AC8" s="1078"/>
      <c r="AD8" s="1078"/>
      <c r="AE8" s="1078"/>
      <c r="AF8" s="1078"/>
      <c r="AG8" s="1078"/>
      <c r="AH8" s="1078"/>
      <c r="AI8" s="1078"/>
      <c r="AJ8" s="1078"/>
      <c r="AK8" s="1078"/>
      <c r="AL8" s="1078"/>
      <c r="AM8" s="1078"/>
      <c r="AN8" s="1078"/>
      <c r="AO8" s="1747"/>
      <c r="AP8" s="1747"/>
      <c r="AQ8" s="1748"/>
      <c r="AR8" s="1056"/>
      <c r="AS8" s="1056"/>
      <c r="AT8" s="1056"/>
      <c r="AU8" s="1056"/>
      <c r="AV8" s="1056"/>
      <c r="AW8" s="1056"/>
      <c r="AX8" s="1056"/>
      <c r="AY8" s="1056"/>
      <c r="AZ8" s="1056"/>
      <c r="BA8" s="1056"/>
      <c r="BB8" s="1056"/>
      <c r="BC8" s="1056"/>
      <c r="BD8" s="1056"/>
      <c r="BE8" s="1056"/>
      <c r="BF8" s="1056"/>
      <c r="BG8" s="1056"/>
      <c r="BH8" s="1056"/>
      <c r="BI8" s="1056"/>
      <c r="BJ8" s="1056"/>
      <c r="BK8" s="1056"/>
    </row>
    <row r="9" spans="1:63" s="1056" customFormat="1" ht="23.25" customHeight="1" x14ac:dyDescent="0.2">
      <c r="A9" s="1749"/>
      <c r="B9" s="1750"/>
      <c r="C9" s="1751"/>
      <c r="D9" s="1752">
        <v>26</v>
      </c>
      <c r="E9" s="2605" t="s">
        <v>1556</v>
      </c>
      <c r="F9" s="2605"/>
      <c r="G9" s="2605"/>
      <c r="H9" s="2605"/>
      <c r="I9" s="2605"/>
      <c r="J9" s="2605"/>
      <c r="K9" s="2605"/>
      <c r="L9" s="1092"/>
      <c r="M9" s="1092"/>
      <c r="N9" s="1093"/>
      <c r="O9" s="1093"/>
      <c r="P9" s="1092"/>
      <c r="Q9" s="1753"/>
      <c r="R9" s="1754"/>
      <c r="S9" s="1092"/>
      <c r="T9" s="1092"/>
      <c r="U9" s="1755"/>
      <c r="V9" s="1756"/>
      <c r="W9" s="1097"/>
      <c r="X9" s="1093"/>
      <c r="Y9" s="1091"/>
      <c r="Z9" s="1757"/>
      <c r="AA9" s="1091"/>
      <c r="AB9" s="1091"/>
      <c r="AC9" s="1091"/>
      <c r="AD9" s="1091"/>
      <c r="AE9" s="1091"/>
      <c r="AF9" s="1091"/>
      <c r="AG9" s="1091"/>
      <c r="AH9" s="1091"/>
      <c r="AI9" s="1091"/>
      <c r="AJ9" s="1091"/>
      <c r="AK9" s="1091"/>
      <c r="AL9" s="1091"/>
      <c r="AM9" s="1091"/>
      <c r="AN9" s="1091"/>
      <c r="AO9" s="1098"/>
      <c r="AP9" s="1098"/>
      <c r="AQ9" s="1758"/>
    </row>
    <row r="10" spans="1:63" s="1056" customFormat="1" ht="25.5" customHeight="1" x14ac:dyDescent="0.2">
      <c r="A10" s="1759"/>
      <c r="B10" s="1760"/>
      <c r="C10" s="1760"/>
      <c r="D10" s="1761"/>
      <c r="E10" s="1750"/>
      <c r="F10" s="1751"/>
      <c r="G10" s="1762">
        <v>83</v>
      </c>
      <c r="H10" s="2621" t="s">
        <v>1557</v>
      </c>
      <c r="I10" s="2621"/>
      <c r="J10" s="2621"/>
      <c r="K10" s="2621"/>
      <c r="L10" s="1763"/>
      <c r="M10" s="1763"/>
      <c r="N10" s="1764"/>
      <c r="O10" s="1764"/>
      <c r="P10" s="1763"/>
      <c r="Q10" s="1765"/>
      <c r="R10" s="1766"/>
      <c r="S10" s="1763"/>
      <c r="T10" s="1763"/>
      <c r="U10" s="1767"/>
      <c r="V10" s="1768"/>
      <c r="W10" s="1769"/>
      <c r="X10" s="1764"/>
      <c r="Y10" s="1101"/>
      <c r="Z10" s="1770"/>
      <c r="AA10" s="1101"/>
      <c r="AB10" s="1101"/>
      <c r="AC10" s="1101"/>
      <c r="AD10" s="1101"/>
      <c r="AE10" s="1101"/>
      <c r="AF10" s="1101"/>
      <c r="AG10" s="1101"/>
      <c r="AH10" s="1101"/>
      <c r="AI10" s="1101"/>
      <c r="AJ10" s="1101"/>
      <c r="AK10" s="1101"/>
      <c r="AL10" s="1101"/>
      <c r="AM10" s="1101"/>
      <c r="AN10" s="1101"/>
      <c r="AO10" s="1771"/>
      <c r="AP10" s="1771"/>
      <c r="AQ10" s="1772"/>
    </row>
    <row r="11" spans="1:63" ht="243.75" customHeight="1" x14ac:dyDescent="0.2">
      <c r="A11" s="1773"/>
      <c r="B11" s="1774"/>
      <c r="C11" s="1774"/>
      <c r="D11" s="1775"/>
      <c r="E11" s="1774"/>
      <c r="F11" s="1776"/>
      <c r="G11" s="1777"/>
      <c r="H11" s="1774"/>
      <c r="I11" s="1774"/>
      <c r="J11" s="2622">
        <v>246</v>
      </c>
      <c r="K11" s="2623" t="s">
        <v>1558</v>
      </c>
      <c r="L11" s="2623" t="s">
        <v>1559</v>
      </c>
      <c r="M11" s="2622">
        <v>13</v>
      </c>
      <c r="N11" s="2622" t="s">
        <v>1560</v>
      </c>
      <c r="O11" s="2622" t="s">
        <v>1561</v>
      </c>
      <c r="P11" s="2623" t="s">
        <v>1562</v>
      </c>
      <c r="Q11" s="2633">
        <v>1</v>
      </c>
      <c r="R11" s="2634">
        <f>SUM(V11:V32)</f>
        <v>17500000</v>
      </c>
      <c r="S11" s="2635" t="s">
        <v>1563</v>
      </c>
      <c r="T11" s="1778" t="s">
        <v>1564</v>
      </c>
      <c r="U11" s="1032" t="s">
        <v>1565</v>
      </c>
      <c r="V11" s="1779">
        <v>1200000</v>
      </c>
      <c r="W11" s="1780">
        <v>20</v>
      </c>
      <c r="X11" s="1781" t="s">
        <v>1566</v>
      </c>
      <c r="Y11" s="2630">
        <v>294321</v>
      </c>
      <c r="Z11" s="2632">
        <v>283947</v>
      </c>
      <c r="AA11" s="2630">
        <v>135754</v>
      </c>
      <c r="AB11" s="2630">
        <v>44640</v>
      </c>
      <c r="AC11" s="2630">
        <v>308178</v>
      </c>
      <c r="AD11" s="2630">
        <v>89696</v>
      </c>
      <c r="AE11" s="2630">
        <v>2145</v>
      </c>
      <c r="AF11" s="2630">
        <v>12718</v>
      </c>
      <c r="AG11" s="2630">
        <v>26</v>
      </c>
      <c r="AH11" s="2630">
        <v>37</v>
      </c>
      <c r="AI11" s="2630"/>
      <c r="AJ11" s="2630"/>
      <c r="AK11" s="2630">
        <v>54612</v>
      </c>
      <c r="AL11" s="2630">
        <v>21944</v>
      </c>
      <c r="AM11" s="2630">
        <v>1010</v>
      </c>
      <c r="AN11" s="2630">
        <f>+Y11+Z11</f>
        <v>578268</v>
      </c>
      <c r="AO11" s="2628">
        <v>43102</v>
      </c>
      <c r="AP11" s="2628">
        <v>43465</v>
      </c>
      <c r="AQ11" s="2629" t="s">
        <v>1567</v>
      </c>
    </row>
    <row r="12" spans="1:63" ht="52.5" customHeight="1" x14ac:dyDescent="0.2">
      <c r="A12" s="1773"/>
      <c r="B12" s="1774"/>
      <c r="C12" s="1774"/>
      <c r="D12" s="1775"/>
      <c r="E12" s="1774"/>
      <c r="F12" s="1776"/>
      <c r="G12" s="1775"/>
      <c r="H12" s="1774"/>
      <c r="I12" s="1774"/>
      <c r="J12" s="2622"/>
      <c r="K12" s="2623"/>
      <c r="L12" s="2623"/>
      <c r="M12" s="2622"/>
      <c r="N12" s="2622"/>
      <c r="O12" s="2622"/>
      <c r="P12" s="2623"/>
      <c r="Q12" s="2633"/>
      <c r="R12" s="2634"/>
      <c r="S12" s="2636"/>
      <c r="T12" s="2638" t="s">
        <v>1568</v>
      </c>
      <c r="U12" s="1782" t="s">
        <v>1569</v>
      </c>
      <c r="V12" s="1779">
        <v>360000</v>
      </c>
      <c r="W12" s="1780">
        <v>20</v>
      </c>
      <c r="X12" s="1781" t="s">
        <v>1566</v>
      </c>
      <c r="Y12" s="2630"/>
      <c r="Z12" s="2632"/>
      <c r="AA12" s="2630"/>
      <c r="AB12" s="2630"/>
      <c r="AC12" s="2630"/>
      <c r="AD12" s="2630"/>
      <c r="AE12" s="2630"/>
      <c r="AF12" s="2630"/>
      <c r="AG12" s="2630"/>
      <c r="AH12" s="2630"/>
      <c r="AI12" s="2630"/>
      <c r="AJ12" s="2630"/>
      <c r="AK12" s="2630"/>
      <c r="AL12" s="2630"/>
      <c r="AM12" s="2630"/>
      <c r="AN12" s="2630"/>
      <c r="AO12" s="2628"/>
      <c r="AP12" s="2628"/>
      <c r="AQ12" s="2629"/>
    </row>
    <row r="13" spans="1:63" ht="67.5" customHeight="1" x14ac:dyDescent="0.2">
      <c r="A13" s="1773"/>
      <c r="B13" s="1774"/>
      <c r="C13" s="1774"/>
      <c r="D13" s="1775"/>
      <c r="E13" s="1774"/>
      <c r="F13" s="1776"/>
      <c r="G13" s="1775"/>
      <c r="H13" s="1774"/>
      <c r="I13" s="1774"/>
      <c r="J13" s="2622"/>
      <c r="K13" s="2623"/>
      <c r="L13" s="2623"/>
      <c r="M13" s="2622"/>
      <c r="N13" s="2622"/>
      <c r="O13" s="2622"/>
      <c r="P13" s="2623"/>
      <c r="Q13" s="2633"/>
      <c r="R13" s="2634"/>
      <c r="S13" s="2636"/>
      <c r="T13" s="2638"/>
      <c r="U13" s="1782" t="s">
        <v>1570</v>
      </c>
      <c r="V13" s="1779">
        <v>300000</v>
      </c>
      <c r="W13" s="1780">
        <v>20</v>
      </c>
      <c r="X13" s="1781" t="s">
        <v>1566</v>
      </c>
      <c r="Y13" s="2630"/>
      <c r="Z13" s="2632"/>
      <c r="AA13" s="2630"/>
      <c r="AB13" s="2630"/>
      <c r="AC13" s="2630"/>
      <c r="AD13" s="2630"/>
      <c r="AE13" s="2630"/>
      <c r="AF13" s="2630"/>
      <c r="AG13" s="2630"/>
      <c r="AH13" s="2630"/>
      <c r="AI13" s="2630"/>
      <c r="AJ13" s="2630"/>
      <c r="AK13" s="2630"/>
      <c r="AL13" s="2630"/>
      <c r="AM13" s="2630"/>
      <c r="AN13" s="2630"/>
      <c r="AO13" s="2628"/>
      <c r="AP13" s="2628"/>
      <c r="AQ13" s="2629"/>
    </row>
    <row r="14" spans="1:63" ht="116.25" customHeight="1" x14ac:dyDescent="0.2">
      <c r="A14" s="1773"/>
      <c r="B14" s="1774"/>
      <c r="C14" s="1774"/>
      <c r="D14" s="1775"/>
      <c r="E14" s="1774"/>
      <c r="F14" s="1776"/>
      <c r="G14" s="1775"/>
      <c r="H14" s="1774"/>
      <c r="I14" s="1774"/>
      <c r="J14" s="2622"/>
      <c r="K14" s="2623"/>
      <c r="L14" s="2623"/>
      <c r="M14" s="2622"/>
      <c r="N14" s="2622"/>
      <c r="O14" s="2622"/>
      <c r="P14" s="2623"/>
      <c r="Q14" s="2633"/>
      <c r="R14" s="2634"/>
      <c r="S14" s="2636"/>
      <c r="T14" s="2638"/>
      <c r="U14" s="1783" t="s">
        <v>1571</v>
      </c>
      <c r="V14" s="1779">
        <v>360000</v>
      </c>
      <c r="W14" s="1780">
        <v>20</v>
      </c>
      <c r="X14" s="1781" t="s">
        <v>1566</v>
      </c>
      <c r="Y14" s="2630"/>
      <c r="Z14" s="2632"/>
      <c r="AA14" s="2630"/>
      <c r="AB14" s="2630"/>
      <c r="AC14" s="2630"/>
      <c r="AD14" s="2630"/>
      <c r="AE14" s="2630"/>
      <c r="AF14" s="2630"/>
      <c r="AG14" s="2630"/>
      <c r="AH14" s="2630"/>
      <c r="AI14" s="2630"/>
      <c r="AJ14" s="2630"/>
      <c r="AK14" s="2630"/>
      <c r="AL14" s="2630"/>
      <c r="AM14" s="2630"/>
      <c r="AN14" s="2630"/>
      <c r="AO14" s="2628"/>
      <c r="AP14" s="2628"/>
      <c r="AQ14" s="2629"/>
    </row>
    <row r="15" spans="1:63" ht="78.75" customHeight="1" x14ac:dyDescent="0.2">
      <c r="A15" s="1773"/>
      <c r="B15" s="1774"/>
      <c r="C15" s="1774"/>
      <c r="D15" s="1775"/>
      <c r="E15" s="1774"/>
      <c r="F15" s="1776"/>
      <c r="G15" s="1775"/>
      <c r="H15" s="1774"/>
      <c r="I15" s="1774"/>
      <c r="J15" s="2622"/>
      <c r="K15" s="2623"/>
      <c r="L15" s="2623"/>
      <c r="M15" s="2622"/>
      <c r="N15" s="2622"/>
      <c r="O15" s="2622"/>
      <c r="P15" s="2623"/>
      <c r="Q15" s="2633"/>
      <c r="R15" s="2634"/>
      <c r="S15" s="2636"/>
      <c r="T15" s="2638"/>
      <c r="U15" s="1783" t="s">
        <v>1572</v>
      </c>
      <c r="V15" s="1779">
        <v>360000</v>
      </c>
      <c r="W15" s="1780">
        <v>20</v>
      </c>
      <c r="X15" s="1781" t="s">
        <v>1566</v>
      </c>
      <c r="Y15" s="2630"/>
      <c r="Z15" s="2632"/>
      <c r="AA15" s="2630"/>
      <c r="AB15" s="2630"/>
      <c r="AC15" s="2630"/>
      <c r="AD15" s="2630"/>
      <c r="AE15" s="2630"/>
      <c r="AF15" s="2630"/>
      <c r="AG15" s="2630"/>
      <c r="AH15" s="2630"/>
      <c r="AI15" s="2630"/>
      <c r="AJ15" s="2630"/>
      <c r="AK15" s="2630"/>
      <c r="AL15" s="2630"/>
      <c r="AM15" s="2630"/>
      <c r="AN15" s="2630"/>
      <c r="AO15" s="2628"/>
      <c r="AP15" s="2628"/>
      <c r="AQ15" s="2629"/>
    </row>
    <row r="16" spans="1:63" ht="208.5" customHeight="1" x14ac:dyDescent="0.2">
      <c r="A16" s="1773"/>
      <c r="B16" s="1774"/>
      <c r="C16" s="1774"/>
      <c r="D16" s="1775"/>
      <c r="E16" s="1774"/>
      <c r="F16" s="1776"/>
      <c r="G16" s="1775"/>
      <c r="H16" s="1774"/>
      <c r="I16" s="1774"/>
      <c r="J16" s="2622"/>
      <c r="K16" s="2623"/>
      <c r="L16" s="2623"/>
      <c r="M16" s="2622"/>
      <c r="N16" s="2622"/>
      <c r="O16" s="2622"/>
      <c r="P16" s="2623"/>
      <c r="Q16" s="2633"/>
      <c r="R16" s="2634"/>
      <c r="S16" s="2636"/>
      <c r="T16" s="2638"/>
      <c r="U16" s="1783" t="s">
        <v>1573</v>
      </c>
      <c r="V16" s="1779">
        <v>360000</v>
      </c>
      <c r="W16" s="1780">
        <v>20</v>
      </c>
      <c r="X16" s="1781" t="s">
        <v>1566</v>
      </c>
      <c r="Y16" s="2630"/>
      <c r="Z16" s="2632"/>
      <c r="AA16" s="2630"/>
      <c r="AB16" s="2630"/>
      <c r="AC16" s="2630"/>
      <c r="AD16" s="2630"/>
      <c r="AE16" s="2630"/>
      <c r="AF16" s="2630"/>
      <c r="AG16" s="2630"/>
      <c r="AH16" s="2630"/>
      <c r="AI16" s="2630"/>
      <c r="AJ16" s="2630"/>
      <c r="AK16" s="2630"/>
      <c r="AL16" s="2630"/>
      <c r="AM16" s="2630"/>
      <c r="AN16" s="2630"/>
      <c r="AO16" s="2628"/>
      <c r="AP16" s="2628"/>
      <c r="AQ16" s="2629"/>
    </row>
    <row r="17" spans="1:43" ht="58.5" customHeight="1" x14ac:dyDescent="0.2">
      <c r="A17" s="1773"/>
      <c r="B17" s="1774"/>
      <c r="C17" s="1774"/>
      <c r="D17" s="1775"/>
      <c r="E17" s="1774"/>
      <c r="F17" s="1776"/>
      <c r="G17" s="1775"/>
      <c r="H17" s="1774"/>
      <c r="I17" s="1774"/>
      <c r="J17" s="2622"/>
      <c r="K17" s="2623"/>
      <c r="L17" s="2623"/>
      <c r="M17" s="2622"/>
      <c r="N17" s="2622"/>
      <c r="O17" s="2622"/>
      <c r="P17" s="2623"/>
      <c r="Q17" s="2633"/>
      <c r="R17" s="2634"/>
      <c r="S17" s="2636"/>
      <c r="T17" s="2638"/>
      <c r="U17" s="1783" t="s">
        <v>1574</v>
      </c>
      <c r="V17" s="1779">
        <v>360000</v>
      </c>
      <c r="W17" s="1780">
        <v>20</v>
      </c>
      <c r="X17" s="1781" t="s">
        <v>1566</v>
      </c>
      <c r="Y17" s="2630"/>
      <c r="Z17" s="2632"/>
      <c r="AA17" s="2630"/>
      <c r="AB17" s="2630"/>
      <c r="AC17" s="2630"/>
      <c r="AD17" s="2630"/>
      <c r="AE17" s="2630"/>
      <c r="AF17" s="2630"/>
      <c r="AG17" s="2630"/>
      <c r="AH17" s="2630"/>
      <c r="AI17" s="2630"/>
      <c r="AJ17" s="2630"/>
      <c r="AK17" s="2630"/>
      <c r="AL17" s="2630"/>
      <c r="AM17" s="2630"/>
      <c r="AN17" s="2630"/>
      <c r="AO17" s="2628"/>
      <c r="AP17" s="2628"/>
      <c r="AQ17" s="2629"/>
    </row>
    <row r="18" spans="1:43" ht="50.25" customHeight="1" x14ac:dyDescent="0.2">
      <c r="A18" s="1773"/>
      <c r="B18" s="1774"/>
      <c r="C18" s="1774"/>
      <c r="D18" s="1775"/>
      <c r="E18" s="1774"/>
      <c r="F18" s="1776"/>
      <c r="G18" s="1775"/>
      <c r="H18" s="1774"/>
      <c r="I18" s="1774"/>
      <c r="J18" s="2622"/>
      <c r="K18" s="2623"/>
      <c r="L18" s="2623"/>
      <c r="M18" s="2622"/>
      <c r="N18" s="2622"/>
      <c r="O18" s="2622"/>
      <c r="P18" s="2623"/>
      <c r="Q18" s="2633"/>
      <c r="R18" s="2634"/>
      <c r="S18" s="2636"/>
      <c r="T18" s="2638"/>
      <c r="U18" s="1783" t="s">
        <v>1575</v>
      </c>
      <c r="V18" s="1779">
        <v>360000</v>
      </c>
      <c r="W18" s="1780">
        <v>20</v>
      </c>
      <c r="X18" s="1781" t="s">
        <v>1566</v>
      </c>
      <c r="Y18" s="2630"/>
      <c r="Z18" s="2632"/>
      <c r="AA18" s="2630"/>
      <c r="AB18" s="2630"/>
      <c r="AC18" s="2630"/>
      <c r="AD18" s="2630"/>
      <c r="AE18" s="2630"/>
      <c r="AF18" s="2630"/>
      <c r="AG18" s="2630"/>
      <c r="AH18" s="2630"/>
      <c r="AI18" s="2630"/>
      <c r="AJ18" s="2630"/>
      <c r="AK18" s="2630"/>
      <c r="AL18" s="2630"/>
      <c r="AM18" s="2630"/>
      <c r="AN18" s="2630"/>
      <c r="AO18" s="2628"/>
      <c r="AP18" s="2628"/>
      <c r="AQ18" s="2629"/>
    </row>
    <row r="19" spans="1:43" ht="41.25" customHeight="1" x14ac:dyDescent="0.2">
      <c r="A19" s="1773"/>
      <c r="B19" s="1774"/>
      <c r="C19" s="1774"/>
      <c r="D19" s="1775"/>
      <c r="E19" s="1774"/>
      <c r="F19" s="1776"/>
      <c r="G19" s="1775"/>
      <c r="H19" s="1774"/>
      <c r="I19" s="1774"/>
      <c r="J19" s="2622"/>
      <c r="K19" s="2623"/>
      <c r="L19" s="2623"/>
      <c r="M19" s="2622"/>
      <c r="N19" s="2622"/>
      <c r="O19" s="2622"/>
      <c r="P19" s="2623"/>
      <c r="Q19" s="2633"/>
      <c r="R19" s="2634"/>
      <c r="S19" s="2636"/>
      <c r="T19" s="2638"/>
      <c r="U19" s="1783" t="s">
        <v>1576</v>
      </c>
      <c r="V19" s="1779">
        <v>360000</v>
      </c>
      <c r="W19" s="1780">
        <v>20</v>
      </c>
      <c r="X19" s="1781" t="s">
        <v>1566</v>
      </c>
      <c r="Y19" s="2630"/>
      <c r="Z19" s="2632"/>
      <c r="AA19" s="2630"/>
      <c r="AB19" s="2630"/>
      <c r="AC19" s="2630"/>
      <c r="AD19" s="2630"/>
      <c r="AE19" s="2630"/>
      <c r="AF19" s="2630"/>
      <c r="AG19" s="2630"/>
      <c r="AH19" s="2630"/>
      <c r="AI19" s="2630"/>
      <c r="AJ19" s="2630"/>
      <c r="AK19" s="2630"/>
      <c r="AL19" s="2630"/>
      <c r="AM19" s="2630"/>
      <c r="AN19" s="2630"/>
      <c r="AO19" s="2628"/>
      <c r="AP19" s="2628"/>
      <c r="AQ19" s="2629"/>
    </row>
    <row r="20" spans="1:43" ht="52.5" customHeight="1" x14ac:dyDescent="0.2">
      <c r="A20" s="1773"/>
      <c r="B20" s="1774"/>
      <c r="C20" s="1774"/>
      <c r="D20" s="1775"/>
      <c r="E20" s="1774"/>
      <c r="F20" s="1776"/>
      <c r="G20" s="1775"/>
      <c r="H20" s="1774"/>
      <c r="I20" s="1774"/>
      <c r="J20" s="2622"/>
      <c r="K20" s="2623"/>
      <c r="L20" s="2623"/>
      <c r="M20" s="2622"/>
      <c r="N20" s="2622"/>
      <c r="O20" s="2622"/>
      <c r="P20" s="2623"/>
      <c r="Q20" s="2633"/>
      <c r="R20" s="2634"/>
      <c r="S20" s="2636"/>
      <c r="T20" s="2638"/>
      <c r="U20" s="1783" t="s">
        <v>1577</v>
      </c>
      <c r="V20" s="1779">
        <v>360000</v>
      </c>
      <c r="W20" s="1780">
        <v>20</v>
      </c>
      <c r="X20" s="1781" t="s">
        <v>1566</v>
      </c>
      <c r="Y20" s="2630"/>
      <c r="Z20" s="2632"/>
      <c r="AA20" s="2630"/>
      <c r="AB20" s="2630"/>
      <c r="AC20" s="2630"/>
      <c r="AD20" s="2630"/>
      <c r="AE20" s="2630"/>
      <c r="AF20" s="2630"/>
      <c r="AG20" s="2630"/>
      <c r="AH20" s="2630"/>
      <c r="AI20" s="2630"/>
      <c r="AJ20" s="2630"/>
      <c r="AK20" s="2630"/>
      <c r="AL20" s="2630"/>
      <c r="AM20" s="2630"/>
      <c r="AN20" s="2630"/>
      <c r="AO20" s="2628"/>
      <c r="AP20" s="2628"/>
      <c r="AQ20" s="2629"/>
    </row>
    <row r="21" spans="1:43" ht="90.75" customHeight="1" x14ac:dyDescent="0.2">
      <c r="A21" s="1773"/>
      <c r="B21" s="1774"/>
      <c r="C21" s="1774"/>
      <c r="D21" s="1775"/>
      <c r="E21" s="1774"/>
      <c r="F21" s="1776"/>
      <c r="G21" s="1775"/>
      <c r="H21" s="1774"/>
      <c r="I21" s="1774"/>
      <c r="J21" s="2622"/>
      <c r="K21" s="2623"/>
      <c r="L21" s="2623"/>
      <c r="M21" s="2622"/>
      <c r="N21" s="2622"/>
      <c r="O21" s="2622"/>
      <c r="P21" s="2623"/>
      <c r="Q21" s="2633"/>
      <c r="R21" s="2634"/>
      <c r="S21" s="2636"/>
      <c r="T21" s="2638"/>
      <c r="U21" s="1783" t="s">
        <v>1578</v>
      </c>
      <c r="V21" s="1779">
        <v>360000</v>
      </c>
      <c r="W21" s="1780">
        <v>20</v>
      </c>
      <c r="X21" s="1781" t="s">
        <v>1566</v>
      </c>
      <c r="Y21" s="2630"/>
      <c r="Z21" s="2632"/>
      <c r="AA21" s="2630"/>
      <c r="AB21" s="2630"/>
      <c r="AC21" s="2630"/>
      <c r="AD21" s="2630"/>
      <c r="AE21" s="2630"/>
      <c r="AF21" s="2630"/>
      <c r="AG21" s="2630"/>
      <c r="AH21" s="2630"/>
      <c r="AI21" s="2630"/>
      <c r="AJ21" s="2630"/>
      <c r="AK21" s="2630"/>
      <c r="AL21" s="2630"/>
      <c r="AM21" s="2630"/>
      <c r="AN21" s="2630"/>
      <c r="AO21" s="2628"/>
      <c r="AP21" s="2628"/>
      <c r="AQ21" s="2629"/>
    </row>
    <row r="22" spans="1:43" ht="54.75" customHeight="1" x14ac:dyDescent="0.2">
      <c r="A22" s="1773"/>
      <c r="B22" s="1774"/>
      <c r="C22" s="1774"/>
      <c r="D22" s="1775"/>
      <c r="E22" s="1774"/>
      <c r="F22" s="1776"/>
      <c r="G22" s="1775"/>
      <c r="H22" s="1774"/>
      <c r="I22" s="1774"/>
      <c r="J22" s="2622"/>
      <c r="K22" s="2623"/>
      <c r="L22" s="2623"/>
      <c r="M22" s="2622"/>
      <c r="N22" s="2622"/>
      <c r="O22" s="2622"/>
      <c r="P22" s="2623"/>
      <c r="Q22" s="2633"/>
      <c r="R22" s="2634"/>
      <c r="S22" s="2636"/>
      <c r="T22" s="2638"/>
      <c r="U22" s="1783" t="s">
        <v>1579</v>
      </c>
      <c r="V22" s="1784">
        <v>360000</v>
      </c>
      <c r="W22" s="1780">
        <v>20</v>
      </c>
      <c r="X22" s="1781" t="s">
        <v>1566</v>
      </c>
      <c r="Y22" s="2630"/>
      <c r="Z22" s="2632"/>
      <c r="AA22" s="2630"/>
      <c r="AB22" s="2630"/>
      <c r="AC22" s="2630"/>
      <c r="AD22" s="2630"/>
      <c r="AE22" s="2630"/>
      <c r="AF22" s="2630"/>
      <c r="AG22" s="2630"/>
      <c r="AH22" s="2630"/>
      <c r="AI22" s="2630"/>
      <c r="AJ22" s="2630"/>
      <c r="AK22" s="2630"/>
      <c r="AL22" s="2630"/>
      <c r="AM22" s="2630"/>
      <c r="AN22" s="2630"/>
      <c r="AO22" s="2628"/>
      <c r="AP22" s="2628"/>
      <c r="AQ22" s="2629"/>
    </row>
    <row r="23" spans="1:43" ht="54.75" customHeight="1" x14ac:dyDescent="0.2">
      <c r="A23" s="1773"/>
      <c r="B23" s="1774"/>
      <c r="C23" s="1774"/>
      <c r="D23" s="1775"/>
      <c r="E23" s="1774"/>
      <c r="F23" s="1776"/>
      <c r="G23" s="1775"/>
      <c r="H23" s="1774"/>
      <c r="I23" s="1774"/>
      <c r="J23" s="2622"/>
      <c r="K23" s="2623"/>
      <c r="L23" s="2623"/>
      <c r="M23" s="2622"/>
      <c r="N23" s="2622"/>
      <c r="O23" s="2622"/>
      <c r="P23" s="2623"/>
      <c r="Q23" s="2633"/>
      <c r="R23" s="2634"/>
      <c r="S23" s="2636"/>
      <c r="T23" s="2638"/>
      <c r="U23" s="1783" t="s">
        <v>1580</v>
      </c>
      <c r="V23" s="1784">
        <v>360000</v>
      </c>
      <c r="W23" s="1780">
        <v>20</v>
      </c>
      <c r="X23" s="1781" t="s">
        <v>1566</v>
      </c>
      <c r="Y23" s="2630"/>
      <c r="Z23" s="2632"/>
      <c r="AA23" s="2630"/>
      <c r="AB23" s="2630"/>
      <c r="AC23" s="2630"/>
      <c r="AD23" s="2630"/>
      <c r="AE23" s="2630"/>
      <c r="AF23" s="2630"/>
      <c r="AG23" s="2630"/>
      <c r="AH23" s="2630"/>
      <c r="AI23" s="2630"/>
      <c r="AJ23" s="2630"/>
      <c r="AK23" s="2630"/>
      <c r="AL23" s="2630"/>
      <c r="AM23" s="2630"/>
      <c r="AN23" s="2630"/>
      <c r="AO23" s="2628"/>
      <c r="AP23" s="2628"/>
      <c r="AQ23" s="2629"/>
    </row>
    <row r="24" spans="1:43" ht="54.75" customHeight="1" x14ac:dyDescent="0.2">
      <c r="A24" s="1773"/>
      <c r="B24" s="1774"/>
      <c r="C24" s="1774"/>
      <c r="D24" s="1775"/>
      <c r="E24" s="1774"/>
      <c r="F24" s="1776"/>
      <c r="G24" s="1775"/>
      <c r="H24" s="1774"/>
      <c r="I24" s="1774"/>
      <c r="J24" s="2622"/>
      <c r="K24" s="2623"/>
      <c r="L24" s="2623"/>
      <c r="M24" s="2622"/>
      <c r="N24" s="2622"/>
      <c r="O24" s="2622"/>
      <c r="P24" s="2623"/>
      <c r="Q24" s="2633"/>
      <c r="R24" s="2634"/>
      <c r="S24" s="2636"/>
      <c r="T24" s="2638"/>
      <c r="U24" s="1783" t="s">
        <v>1581</v>
      </c>
      <c r="V24" s="1784">
        <v>360000</v>
      </c>
      <c r="W24" s="1780">
        <v>20</v>
      </c>
      <c r="X24" s="1781" t="s">
        <v>1566</v>
      </c>
      <c r="Y24" s="2630"/>
      <c r="Z24" s="2632"/>
      <c r="AA24" s="2630"/>
      <c r="AB24" s="2630"/>
      <c r="AC24" s="2630"/>
      <c r="AD24" s="2630"/>
      <c r="AE24" s="2630"/>
      <c r="AF24" s="2630"/>
      <c r="AG24" s="2630"/>
      <c r="AH24" s="2630"/>
      <c r="AI24" s="2630"/>
      <c r="AJ24" s="2630"/>
      <c r="AK24" s="2630"/>
      <c r="AL24" s="2630"/>
      <c r="AM24" s="2630"/>
      <c r="AN24" s="2630"/>
      <c r="AO24" s="2628"/>
      <c r="AP24" s="2628"/>
      <c r="AQ24" s="2629"/>
    </row>
    <row r="25" spans="1:43" ht="54.75" customHeight="1" x14ac:dyDescent="0.2">
      <c r="A25" s="1773"/>
      <c r="B25" s="1774"/>
      <c r="C25" s="1774"/>
      <c r="D25" s="1775"/>
      <c r="E25" s="1774"/>
      <c r="F25" s="1776"/>
      <c r="G25" s="1775"/>
      <c r="H25" s="1774"/>
      <c r="I25" s="1774"/>
      <c r="J25" s="2622"/>
      <c r="K25" s="2623"/>
      <c r="L25" s="2623"/>
      <c r="M25" s="2622"/>
      <c r="N25" s="2622"/>
      <c r="O25" s="2622"/>
      <c r="P25" s="2623"/>
      <c r="Q25" s="2633"/>
      <c r="R25" s="2634"/>
      <c r="S25" s="2636"/>
      <c r="T25" s="2638"/>
      <c r="U25" s="1783" t="s">
        <v>1582</v>
      </c>
      <c r="V25" s="1784">
        <v>360000</v>
      </c>
      <c r="W25" s="1780">
        <v>20</v>
      </c>
      <c r="X25" s="1781" t="s">
        <v>1566</v>
      </c>
      <c r="Y25" s="2630"/>
      <c r="Z25" s="2632"/>
      <c r="AA25" s="2630"/>
      <c r="AB25" s="2630"/>
      <c r="AC25" s="2630"/>
      <c r="AD25" s="2630"/>
      <c r="AE25" s="2630"/>
      <c r="AF25" s="2630"/>
      <c r="AG25" s="2630"/>
      <c r="AH25" s="2630"/>
      <c r="AI25" s="2630"/>
      <c r="AJ25" s="2630"/>
      <c r="AK25" s="2630"/>
      <c r="AL25" s="2630"/>
      <c r="AM25" s="2630"/>
      <c r="AN25" s="2630"/>
      <c r="AO25" s="2628"/>
      <c r="AP25" s="2628"/>
      <c r="AQ25" s="2629"/>
    </row>
    <row r="26" spans="1:43" ht="54.75" customHeight="1" x14ac:dyDescent="0.2">
      <c r="A26" s="1773"/>
      <c r="B26" s="1774"/>
      <c r="C26" s="1774"/>
      <c r="D26" s="1775"/>
      <c r="E26" s="1774"/>
      <c r="F26" s="1776"/>
      <c r="G26" s="1775"/>
      <c r="H26" s="1774"/>
      <c r="I26" s="1774"/>
      <c r="J26" s="2622"/>
      <c r="K26" s="2623"/>
      <c r="L26" s="2623"/>
      <c r="M26" s="2622"/>
      <c r="N26" s="2622"/>
      <c r="O26" s="2622"/>
      <c r="P26" s="2623"/>
      <c r="Q26" s="2633"/>
      <c r="R26" s="2634"/>
      <c r="S26" s="2636"/>
      <c r="T26" s="2638"/>
      <c r="U26" s="1783" t="s">
        <v>1583</v>
      </c>
      <c r="V26" s="1784">
        <v>360000</v>
      </c>
      <c r="W26" s="1780">
        <v>20</v>
      </c>
      <c r="X26" s="1781" t="s">
        <v>1566</v>
      </c>
      <c r="Y26" s="2630"/>
      <c r="Z26" s="2632"/>
      <c r="AA26" s="2630"/>
      <c r="AB26" s="2630"/>
      <c r="AC26" s="2630"/>
      <c r="AD26" s="2630"/>
      <c r="AE26" s="2630"/>
      <c r="AF26" s="2630"/>
      <c r="AG26" s="2630"/>
      <c r="AH26" s="2630"/>
      <c r="AI26" s="2630"/>
      <c r="AJ26" s="2630"/>
      <c r="AK26" s="2630"/>
      <c r="AL26" s="2630"/>
      <c r="AM26" s="2630"/>
      <c r="AN26" s="2630"/>
      <c r="AO26" s="2628"/>
      <c r="AP26" s="2628"/>
      <c r="AQ26" s="2629"/>
    </row>
    <row r="27" spans="1:43" ht="108" customHeight="1" x14ac:dyDescent="0.2">
      <c r="A27" s="1773"/>
      <c r="B27" s="1774"/>
      <c r="C27" s="1774"/>
      <c r="D27" s="1775"/>
      <c r="E27" s="1774"/>
      <c r="F27" s="1776"/>
      <c r="G27" s="1775"/>
      <c r="H27" s="1774"/>
      <c r="I27" s="1774"/>
      <c r="J27" s="2622"/>
      <c r="K27" s="2623"/>
      <c r="L27" s="2623"/>
      <c r="M27" s="2622"/>
      <c r="N27" s="2622"/>
      <c r="O27" s="2622"/>
      <c r="P27" s="2623"/>
      <c r="Q27" s="2633"/>
      <c r="R27" s="2634"/>
      <c r="S27" s="2636"/>
      <c r="T27" s="2638"/>
      <c r="U27" s="1783" t="s">
        <v>1584</v>
      </c>
      <c r="V27" s="1784">
        <v>360000</v>
      </c>
      <c r="W27" s="1780">
        <v>20</v>
      </c>
      <c r="X27" s="1781" t="s">
        <v>1566</v>
      </c>
      <c r="Y27" s="2630"/>
      <c r="Z27" s="2632"/>
      <c r="AA27" s="2630"/>
      <c r="AB27" s="2630"/>
      <c r="AC27" s="2630"/>
      <c r="AD27" s="2630"/>
      <c r="AE27" s="2630"/>
      <c r="AF27" s="2630"/>
      <c r="AG27" s="2630"/>
      <c r="AH27" s="2630"/>
      <c r="AI27" s="2630"/>
      <c r="AJ27" s="2630"/>
      <c r="AK27" s="2630"/>
      <c r="AL27" s="2630"/>
      <c r="AM27" s="2630"/>
      <c r="AN27" s="2630"/>
      <c r="AO27" s="2628"/>
      <c r="AP27" s="2628"/>
      <c r="AQ27" s="2629"/>
    </row>
    <row r="28" spans="1:43" ht="78" customHeight="1" x14ac:dyDescent="0.2">
      <c r="A28" s="1773"/>
      <c r="B28" s="1774"/>
      <c r="C28" s="1774"/>
      <c r="D28" s="1775"/>
      <c r="E28" s="1774"/>
      <c r="F28" s="1776"/>
      <c r="G28" s="1775"/>
      <c r="H28" s="1774"/>
      <c r="I28" s="1774"/>
      <c r="J28" s="2622"/>
      <c r="K28" s="2623"/>
      <c r="L28" s="2623"/>
      <c r="M28" s="2622"/>
      <c r="N28" s="2622"/>
      <c r="O28" s="2622"/>
      <c r="P28" s="2623"/>
      <c r="Q28" s="2633"/>
      <c r="R28" s="2634"/>
      <c r="S28" s="2636"/>
      <c r="T28" s="2638"/>
      <c r="U28" s="1783" t="s">
        <v>1585</v>
      </c>
      <c r="V28" s="1784">
        <v>360000</v>
      </c>
      <c r="W28" s="1780">
        <v>20</v>
      </c>
      <c r="X28" s="1781" t="s">
        <v>1566</v>
      </c>
      <c r="Y28" s="2630"/>
      <c r="Z28" s="2632"/>
      <c r="AA28" s="2630"/>
      <c r="AB28" s="2630"/>
      <c r="AC28" s="2630"/>
      <c r="AD28" s="2630"/>
      <c r="AE28" s="2630"/>
      <c r="AF28" s="2630"/>
      <c r="AG28" s="2630"/>
      <c r="AH28" s="2630"/>
      <c r="AI28" s="2630"/>
      <c r="AJ28" s="2630"/>
      <c r="AK28" s="2630"/>
      <c r="AL28" s="2630"/>
      <c r="AM28" s="2630"/>
      <c r="AN28" s="2630"/>
      <c r="AO28" s="2628"/>
      <c r="AP28" s="2628"/>
      <c r="AQ28" s="2629"/>
    </row>
    <row r="29" spans="1:43" ht="69" customHeight="1" x14ac:dyDescent="0.2">
      <c r="A29" s="1773"/>
      <c r="B29" s="1774"/>
      <c r="C29" s="1774"/>
      <c r="D29" s="1775"/>
      <c r="E29" s="1774"/>
      <c r="F29" s="1776"/>
      <c r="G29" s="1775"/>
      <c r="H29" s="1774"/>
      <c r="I29" s="1774"/>
      <c r="J29" s="2622"/>
      <c r="K29" s="2623"/>
      <c r="L29" s="2623"/>
      <c r="M29" s="2622"/>
      <c r="N29" s="2622"/>
      <c r="O29" s="2622"/>
      <c r="P29" s="2623"/>
      <c r="Q29" s="2633"/>
      <c r="R29" s="2634"/>
      <c r="S29" s="2636"/>
      <c r="T29" s="2638"/>
      <c r="U29" s="1783" t="s">
        <v>1586</v>
      </c>
      <c r="V29" s="1785">
        <v>5400000</v>
      </c>
      <c r="W29" s="1780">
        <v>20</v>
      </c>
      <c r="X29" s="1781" t="s">
        <v>1566</v>
      </c>
      <c r="Y29" s="2630"/>
      <c r="Z29" s="2632"/>
      <c r="AA29" s="2630"/>
      <c r="AB29" s="2630"/>
      <c r="AC29" s="2630"/>
      <c r="AD29" s="2630"/>
      <c r="AE29" s="2630"/>
      <c r="AF29" s="2630"/>
      <c r="AG29" s="2630"/>
      <c r="AH29" s="2630"/>
      <c r="AI29" s="2630"/>
      <c r="AJ29" s="2630"/>
      <c r="AK29" s="2630"/>
      <c r="AL29" s="2630"/>
      <c r="AM29" s="2630"/>
      <c r="AN29" s="2630"/>
      <c r="AO29" s="2628"/>
      <c r="AP29" s="2628"/>
      <c r="AQ29" s="2629"/>
    </row>
    <row r="30" spans="1:43" ht="174" customHeight="1" x14ac:dyDescent="0.2">
      <c r="A30" s="1773"/>
      <c r="B30" s="1774"/>
      <c r="C30" s="1774"/>
      <c r="D30" s="1775"/>
      <c r="E30" s="1774"/>
      <c r="F30" s="1776"/>
      <c r="G30" s="1775"/>
      <c r="H30" s="1774"/>
      <c r="I30" s="1774"/>
      <c r="J30" s="2622"/>
      <c r="K30" s="2623"/>
      <c r="L30" s="2623"/>
      <c r="M30" s="2622"/>
      <c r="N30" s="2622"/>
      <c r="O30" s="2622"/>
      <c r="P30" s="2623"/>
      <c r="Q30" s="2633"/>
      <c r="R30" s="2634"/>
      <c r="S30" s="2636"/>
      <c r="T30" s="2638"/>
      <c r="U30" s="1783" t="s">
        <v>1587</v>
      </c>
      <c r="V30" s="1785">
        <v>3600000</v>
      </c>
      <c r="W30" s="1780">
        <v>20</v>
      </c>
      <c r="X30" s="1781" t="s">
        <v>1566</v>
      </c>
      <c r="Y30" s="2630"/>
      <c r="Z30" s="2632"/>
      <c r="AA30" s="2630"/>
      <c r="AB30" s="2630"/>
      <c r="AC30" s="2630"/>
      <c r="AD30" s="2630"/>
      <c r="AE30" s="2630"/>
      <c r="AF30" s="2630"/>
      <c r="AG30" s="2630"/>
      <c r="AH30" s="2630"/>
      <c r="AI30" s="2630"/>
      <c r="AJ30" s="2630"/>
      <c r="AK30" s="2630"/>
      <c r="AL30" s="2630"/>
      <c r="AM30" s="2630"/>
      <c r="AN30" s="2630"/>
      <c r="AO30" s="2628"/>
      <c r="AP30" s="2628"/>
      <c r="AQ30" s="2629"/>
    </row>
    <row r="31" spans="1:43" ht="43.5" customHeight="1" x14ac:dyDescent="0.2">
      <c r="A31" s="1773"/>
      <c r="B31" s="1774"/>
      <c r="C31" s="1774"/>
      <c r="D31" s="1775"/>
      <c r="E31" s="1774"/>
      <c r="F31" s="1776"/>
      <c r="G31" s="1775"/>
      <c r="H31" s="1774"/>
      <c r="I31" s="1774"/>
      <c r="J31" s="2622"/>
      <c r="K31" s="2623"/>
      <c r="L31" s="2623"/>
      <c r="M31" s="2622"/>
      <c r="N31" s="2622"/>
      <c r="O31" s="2622"/>
      <c r="P31" s="2623"/>
      <c r="Q31" s="2633"/>
      <c r="R31" s="2634"/>
      <c r="S31" s="2636"/>
      <c r="T31" s="2638"/>
      <c r="U31" s="1783" t="s">
        <v>1588</v>
      </c>
      <c r="V31" s="1785">
        <v>1200000</v>
      </c>
      <c r="W31" s="1780">
        <v>20</v>
      </c>
      <c r="X31" s="1781" t="s">
        <v>1566</v>
      </c>
      <c r="Y31" s="2630"/>
      <c r="Z31" s="2632"/>
      <c r="AA31" s="2630"/>
      <c r="AB31" s="2630"/>
      <c r="AC31" s="2630"/>
      <c r="AD31" s="2630"/>
      <c r="AE31" s="2630"/>
      <c r="AF31" s="2630"/>
      <c r="AG31" s="2630"/>
      <c r="AH31" s="2630"/>
      <c r="AI31" s="2630"/>
      <c r="AJ31" s="2630"/>
      <c r="AK31" s="2630"/>
      <c r="AL31" s="2630"/>
      <c r="AM31" s="2630"/>
      <c r="AN31" s="2630"/>
      <c r="AO31" s="2628"/>
      <c r="AP31" s="2628"/>
      <c r="AQ31" s="2629"/>
    </row>
    <row r="32" spans="1:43" ht="43.5" customHeight="1" x14ac:dyDescent="0.2">
      <c r="A32" s="1773"/>
      <c r="B32" s="1774"/>
      <c r="C32" s="1774"/>
      <c r="D32" s="1775"/>
      <c r="E32" s="1774"/>
      <c r="F32" s="1776"/>
      <c r="G32" s="1786"/>
      <c r="H32" s="1774"/>
      <c r="I32" s="1774"/>
      <c r="J32" s="2622"/>
      <c r="K32" s="2623"/>
      <c r="L32" s="2623"/>
      <c r="M32" s="2622"/>
      <c r="N32" s="2622"/>
      <c r="O32" s="2622"/>
      <c r="P32" s="2623"/>
      <c r="Q32" s="2633"/>
      <c r="R32" s="2634"/>
      <c r="S32" s="2637"/>
      <c r="T32" s="2638"/>
      <c r="U32" s="1783" t="s">
        <v>1589</v>
      </c>
      <c r="V32" s="1785">
        <v>40000</v>
      </c>
      <c r="W32" s="1780">
        <v>20</v>
      </c>
      <c r="X32" s="1781" t="s">
        <v>1566</v>
      </c>
      <c r="Y32" s="2630"/>
      <c r="Z32" s="2632"/>
      <c r="AA32" s="2630"/>
      <c r="AB32" s="2630"/>
      <c r="AC32" s="2630"/>
      <c r="AD32" s="2630"/>
      <c r="AE32" s="2630"/>
      <c r="AF32" s="2630"/>
      <c r="AG32" s="2630"/>
      <c r="AH32" s="2630"/>
      <c r="AI32" s="2630"/>
      <c r="AJ32" s="2630"/>
      <c r="AK32" s="2630"/>
      <c r="AL32" s="2630"/>
      <c r="AM32" s="2630"/>
      <c r="AN32" s="2630"/>
      <c r="AO32" s="2628"/>
      <c r="AP32" s="2628"/>
      <c r="AQ32" s="2629"/>
    </row>
    <row r="33" spans="1:43" ht="39.75" customHeight="1" x14ac:dyDescent="0.2">
      <c r="A33" s="1787"/>
      <c r="B33" s="1146"/>
      <c r="C33" s="1146"/>
      <c r="D33" s="1788"/>
      <c r="E33" s="1146"/>
      <c r="G33" s="1762">
        <v>84</v>
      </c>
      <c r="H33" s="2621" t="s">
        <v>1590</v>
      </c>
      <c r="I33" s="2621"/>
      <c r="J33" s="2621"/>
      <c r="K33" s="2621"/>
      <c r="L33" s="1763"/>
      <c r="M33" s="1764"/>
      <c r="N33" s="1764"/>
      <c r="O33" s="1764"/>
      <c r="P33" s="1763"/>
      <c r="Q33" s="1765"/>
      <c r="R33" s="1789"/>
      <c r="S33" s="1790"/>
      <c r="T33" s="1790"/>
      <c r="U33" s="1791"/>
      <c r="V33" s="1792"/>
      <c r="W33" s="1793"/>
      <c r="X33" s="1794"/>
      <c r="Y33" s="1795"/>
      <c r="Z33" s="1796"/>
      <c r="AA33" s="1795"/>
      <c r="AB33" s="1795"/>
      <c r="AC33" s="1795"/>
      <c r="AD33" s="1795"/>
      <c r="AE33" s="1795"/>
      <c r="AF33" s="1795"/>
      <c r="AG33" s="1795"/>
      <c r="AH33" s="1795"/>
      <c r="AI33" s="1795"/>
      <c r="AJ33" s="1795"/>
      <c r="AK33" s="1795"/>
      <c r="AL33" s="1795"/>
      <c r="AM33" s="1795"/>
      <c r="AN33" s="1795"/>
      <c r="AO33" s="1797"/>
      <c r="AP33" s="1798"/>
      <c r="AQ33" s="1799"/>
    </row>
    <row r="34" spans="1:43" ht="60" customHeight="1" x14ac:dyDescent="0.2">
      <c r="A34" s="1800"/>
      <c r="D34" s="1801"/>
      <c r="G34" s="1801"/>
      <c r="J34" s="2622">
        <v>248</v>
      </c>
      <c r="K34" s="2623" t="s">
        <v>1591</v>
      </c>
      <c r="L34" s="2623" t="s">
        <v>1592</v>
      </c>
      <c r="M34" s="2631">
        <v>12</v>
      </c>
      <c r="N34" s="2622" t="s">
        <v>1593</v>
      </c>
      <c r="O34" s="2622" t="s">
        <v>1594</v>
      </c>
      <c r="P34" s="2623" t="s">
        <v>1595</v>
      </c>
      <c r="Q34" s="2640">
        <v>1</v>
      </c>
      <c r="R34" s="2641">
        <f>SUM(V34:V49)</f>
        <v>58500000</v>
      </c>
      <c r="S34" s="2642" t="s">
        <v>1596</v>
      </c>
      <c r="T34" s="2623" t="s">
        <v>1597</v>
      </c>
      <c r="U34" s="1122" t="s">
        <v>1598</v>
      </c>
      <c r="V34" s="1779">
        <v>500000</v>
      </c>
      <c r="W34" s="1780">
        <v>20</v>
      </c>
      <c r="X34" s="1781" t="s">
        <v>1566</v>
      </c>
      <c r="Y34" s="2630">
        <v>294321</v>
      </c>
      <c r="Z34" s="2632">
        <v>283947</v>
      </c>
      <c r="AA34" s="2630">
        <v>135754</v>
      </c>
      <c r="AB34" s="2630">
        <v>44640</v>
      </c>
      <c r="AC34" s="2630">
        <v>308178</v>
      </c>
      <c r="AD34" s="2630">
        <v>89696</v>
      </c>
      <c r="AE34" s="2630">
        <v>2145</v>
      </c>
      <c r="AF34" s="2630">
        <v>12718</v>
      </c>
      <c r="AG34" s="2630">
        <v>26</v>
      </c>
      <c r="AH34" s="2630">
        <v>37</v>
      </c>
      <c r="AI34" s="2630"/>
      <c r="AJ34" s="2630"/>
      <c r="AK34" s="2630">
        <v>54612</v>
      </c>
      <c r="AL34" s="2630">
        <v>16982</v>
      </c>
      <c r="AM34" s="2630">
        <v>1010</v>
      </c>
      <c r="AN34" s="2630">
        <f>Y34+Z34</f>
        <v>578268</v>
      </c>
      <c r="AO34" s="2628">
        <v>43102</v>
      </c>
      <c r="AP34" s="2628">
        <v>43465</v>
      </c>
      <c r="AQ34" s="2629" t="s">
        <v>1567</v>
      </c>
    </row>
    <row r="35" spans="1:43" ht="60" customHeight="1" x14ac:dyDescent="0.2">
      <c r="A35" s="1800"/>
      <c r="D35" s="1801"/>
      <c r="G35" s="1801"/>
      <c r="J35" s="2622"/>
      <c r="K35" s="2623"/>
      <c r="L35" s="2623"/>
      <c r="M35" s="2631"/>
      <c r="N35" s="2622"/>
      <c r="O35" s="2622"/>
      <c r="P35" s="2623"/>
      <c r="Q35" s="2640"/>
      <c r="R35" s="2641"/>
      <c r="S35" s="2642"/>
      <c r="T35" s="2623"/>
      <c r="U35" s="1122" t="s">
        <v>1599</v>
      </c>
      <c r="V35" s="1779">
        <v>500000</v>
      </c>
      <c r="W35" s="1780">
        <v>88</v>
      </c>
      <c r="X35" s="1781" t="s">
        <v>446</v>
      </c>
      <c r="Y35" s="2630"/>
      <c r="Z35" s="2632"/>
      <c r="AA35" s="2630"/>
      <c r="AB35" s="2630"/>
      <c r="AC35" s="2630"/>
      <c r="AD35" s="2630"/>
      <c r="AE35" s="2630"/>
      <c r="AF35" s="2630"/>
      <c r="AG35" s="2630"/>
      <c r="AH35" s="2630"/>
      <c r="AI35" s="2630"/>
      <c r="AJ35" s="2630"/>
      <c r="AK35" s="2630"/>
      <c r="AL35" s="2630"/>
      <c r="AM35" s="2630"/>
      <c r="AN35" s="2630"/>
      <c r="AO35" s="2628"/>
      <c r="AP35" s="2628"/>
      <c r="AQ35" s="2629"/>
    </row>
    <row r="36" spans="1:43" ht="60" customHeight="1" x14ac:dyDescent="0.2">
      <c r="A36" s="1800"/>
      <c r="D36" s="1801"/>
      <c r="G36" s="1801"/>
      <c r="J36" s="2622"/>
      <c r="K36" s="2623"/>
      <c r="L36" s="2623"/>
      <c r="M36" s="2631"/>
      <c r="N36" s="2622"/>
      <c r="O36" s="2622"/>
      <c r="P36" s="2623"/>
      <c r="Q36" s="2640"/>
      <c r="R36" s="2641"/>
      <c r="S36" s="2642"/>
      <c r="T36" s="2623"/>
      <c r="U36" s="1122" t="s">
        <v>1600</v>
      </c>
      <c r="V36" s="1779">
        <v>500000</v>
      </c>
      <c r="W36" s="1780">
        <v>20</v>
      </c>
      <c r="X36" s="1781" t="s">
        <v>1566</v>
      </c>
      <c r="Y36" s="2630"/>
      <c r="Z36" s="2632"/>
      <c r="AA36" s="2630"/>
      <c r="AB36" s="2630"/>
      <c r="AC36" s="2630"/>
      <c r="AD36" s="2630"/>
      <c r="AE36" s="2630"/>
      <c r="AF36" s="2630"/>
      <c r="AG36" s="2630"/>
      <c r="AH36" s="2630"/>
      <c r="AI36" s="2630"/>
      <c r="AJ36" s="2630"/>
      <c r="AK36" s="2630"/>
      <c r="AL36" s="2630"/>
      <c r="AM36" s="2630"/>
      <c r="AN36" s="2630"/>
      <c r="AO36" s="2628"/>
      <c r="AP36" s="2628"/>
      <c r="AQ36" s="2629"/>
    </row>
    <row r="37" spans="1:43" ht="60" customHeight="1" x14ac:dyDescent="0.2">
      <c r="A37" s="1800"/>
      <c r="D37" s="1801"/>
      <c r="G37" s="1801"/>
      <c r="J37" s="2622"/>
      <c r="K37" s="2623"/>
      <c r="L37" s="2623"/>
      <c r="M37" s="2631"/>
      <c r="N37" s="2622"/>
      <c r="O37" s="2622"/>
      <c r="P37" s="2623"/>
      <c r="Q37" s="2640"/>
      <c r="R37" s="2641"/>
      <c r="S37" s="2642"/>
      <c r="T37" s="2623"/>
      <c r="U37" s="1122" t="s">
        <v>1601</v>
      </c>
      <c r="V37" s="1779">
        <v>1000000</v>
      </c>
      <c r="W37" s="1780">
        <v>88</v>
      </c>
      <c r="X37" s="1781" t="s">
        <v>446</v>
      </c>
      <c r="Y37" s="2630"/>
      <c r="Z37" s="2632"/>
      <c r="AA37" s="2630"/>
      <c r="AB37" s="2630"/>
      <c r="AC37" s="2630"/>
      <c r="AD37" s="2630"/>
      <c r="AE37" s="2630"/>
      <c r="AF37" s="2630"/>
      <c r="AG37" s="2630"/>
      <c r="AH37" s="2630"/>
      <c r="AI37" s="2630"/>
      <c r="AJ37" s="2630"/>
      <c r="AK37" s="2630"/>
      <c r="AL37" s="2630"/>
      <c r="AM37" s="2630"/>
      <c r="AN37" s="2630"/>
      <c r="AO37" s="2628"/>
      <c r="AP37" s="2628"/>
      <c r="AQ37" s="2629"/>
    </row>
    <row r="38" spans="1:43" ht="60" customHeight="1" x14ac:dyDescent="0.2">
      <c r="A38" s="1800"/>
      <c r="D38" s="1801"/>
      <c r="G38" s="1801"/>
      <c r="J38" s="2622"/>
      <c r="K38" s="2623"/>
      <c r="L38" s="2623"/>
      <c r="M38" s="2631"/>
      <c r="N38" s="2622"/>
      <c r="O38" s="2622"/>
      <c r="P38" s="2623"/>
      <c r="Q38" s="2640"/>
      <c r="R38" s="2641"/>
      <c r="S38" s="2642"/>
      <c r="T38" s="2623"/>
      <c r="U38" s="1122" t="s">
        <v>1602</v>
      </c>
      <c r="V38" s="1779">
        <v>1000000</v>
      </c>
      <c r="W38" s="1780">
        <v>20</v>
      </c>
      <c r="X38" s="1781" t="s">
        <v>1566</v>
      </c>
      <c r="Y38" s="2630"/>
      <c r="Z38" s="2632"/>
      <c r="AA38" s="2630"/>
      <c r="AB38" s="2630"/>
      <c r="AC38" s="2630"/>
      <c r="AD38" s="2630"/>
      <c r="AE38" s="2630"/>
      <c r="AF38" s="2630"/>
      <c r="AG38" s="2630"/>
      <c r="AH38" s="2630"/>
      <c r="AI38" s="2630"/>
      <c r="AJ38" s="2630"/>
      <c r="AK38" s="2630"/>
      <c r="AL38" s="2630"/>
      <c r="AM38" s="2630"/>
      <c r="AN38" s="2630"/>
      <c r="AO38" s="2628"/>
      <c r="AP38" s="2628"/>
      <c r="AQ38" s="2629"/>
    </row>
    <row r="39" spans="1:43" ht="60" customHeight="1" x14ac:dyDescent="0.2">
      <c r="A39" s="1800"/>
      <c r="D39" s="1801"/>
      <c r="G39" s="1801"/>
      <c r="J39" s="2622"/>
      <c r="K39" s="2623"/>
      <c r="L39" s="2623"/>
      <c r="M39" s="2631"/>
      <c r="N39" s="2622"/>
      <c r="O39" s="2622"/>
      <c r="P39" s="2623"/>
      <c r="Q39" s="2640"/>
      <c r="R39" s="2641"/>
      <c r="S39" s="2642"/>
      <c r="T39" s="2623"/>
      <c r="U39" s="1122" t="s">
        <v>1603</v>
      </c>
      <c r="V39" s="1779">
        <v>1500000</v>
      </c>
      <c r="W39" s="1780">
        <v>88</v>
      </c>
      <c r="X39" s="1781" t="s">
        <v>446</v>
      </c>
      <c r="Y39" s="2630"/>
      <c r="Z39" s="2632"/>
      <c r="AA39" s="2630"/>
      <c r="AB39" s="2630"/>
      <c r="AC39" s="2630"/>
      <c r="AD39" s="2630"/>
      <c r="AE39" s="2630"/>
      <c r="AF39" s="2630"/>
      <c r="AG39" s="2630"/>
      <c r="AH39" s="2630"/>
      <c r="AI39" s="2630"/>
      <c r="AJ39" s="2630"/>
      <c r="AK39" s="2630"/>
      <c r="AL39" s="2630"/>
      <c r="AM39" s="2630"/>
      <c r="AN39" s="2630"/>
      <c r="AO39" s="2628"/>
      <c r="AP39" s="2628"/>
      <c r="AQ39" s="2629"/>
    </row>
    <row r="40" spans="1:43" ht="60" customHeight="1" x14ac:dyDescent="0.2">
      <c r="A40" s="1800"/>
      <c r="D40" s="1801"/>
      <c r="G40" s="1801"/>
      <c r="J40" s="2622"/>
      <c r="K40" s="2623"/>
      <c r="L40" s="2623"/>
      <c r="M40" s="2631"/>
      <c r="N40" s="2622"/>
      <c r="O40" s="2622"/>
      <c r="P40" s="2623"/>
      <c r="Q40" s="2640"/>
      <c r="R40" s="2641"/>
      <c r="S40" s="2642"/>
      <c r="T40" s="2623"/>
      <c r="U40" s="1122" t="s">
        <v>1604</v>
      </c>
      <c r="V40" s="1779">
        <v>500000</v>
      </c>
      <c r="W40" s="1780">
        <v>20</v>
      </c>
      <c r="X40" s="1781" t="s">
        <v>1566</v>
      </c>
      <c r="Y40" s="2630"/>
      <c r="Z40" s="2632"/>
      <c r="AA40" s="2630"/>
      <c r="AB40" s="2630"/>
      <c r="AC40" s="2630"/>
      <c r="AD40" s="2630"/>
      <c r="AE40" s="2630"/>
      <c r="AF40" s="2630"/>
      <c r="AG40" s="2630"/>
      <c r="AH40" s="2630"/>
      <c r="AI40" s="2630"/>
      <c r="AJ40" s="2630"/>
      <c r="AK40" s="2630"/>
      <c r="AL40" s="2630"/>
      <c r="AM40" s="2630"/>
      <c r="AN40" s="2630"/>
      <c r="AO40" s="2628"/>
      <c r="AP40" s="2628"/>
      <c r="AQ40" s="2629"/>
    </row>
    <row r="41" spans="1:43" ht="60" customHeight="1" x14ac:dyDescent="0.2">
      <c r="A41" s="1800"/>
      <c r="D41" s="1801"/>
      <c r="G41" s="1801"/>
      <c r="J41" s="2622"/>
      <c r="K41" s="2623"/>
      <c r="L41" s="2623"/>
      <c r="M41" s="2631"/>
      <c r="N41" s="2622"/>
      <c r="O41" s="2622"/>
      <c r="P41" s="2623"/>
      <c r="Q41" s="2640"/>
      <c r="R41" s="2641"/>
      <c r="S41" s="2642"/>
      <c r="T41" s="2623"/>
      <c r="U41" s="1122" t="s">
        <v>1605</v>
      </c>
      <c r="V41" s="1779">
        <v>1000000</v>
      </c>
      <c r="W41" s="1780">
        <v>88</v>
      </c>
      <c r="X41" s="1781" t="s">
        <v>446</v>
      </c>
      <c r="Y41" s="2630"/>
      <c r="Z41" s="2632"/>
      <c r="AA41" s="2630"/>
      <c r="AB41" s="2630"/>
      <c r="AC41" s="2630"/>
      <c r="AD41" s="2630"/>
      <c r="AE41" s="2630"/>
      <c r="AF41" s="2630"/>
      <c r="AG41" s="2630"/>
      <c r="AH41" s="2630"/>
      <c r="AI41" s="2630"/>
      <c r="AJ41" s="2630"/>
      <c r="AK41" s="2630"/>
      <c r="AL41" s="2630"/>
      <c r="AM41" s="2630"/>
      <c r="AN41" s="2630"/>
      <c r="AO41" s="2628"/>
      <c r="AP41" s="2628"/>
      <c r="AQ41" s="2629"/>
    </row>
    <row r="42" spans="1:43" ht="60" customHeight="1" x14ac:dyDescent="0.2">
      <c r="A42" s="1800"/>
      <c r="D42" s="1801"/>
      <c r="G42" s="1801"/>
      <c r="J42" s="2622"/>
      <c r="K42" s="2623"/>
      <c r="L42" s="2623"/>
      <c r="M42" s="2631"/>
      <c r="N42" s="2622"/>
      <c r="O42" s="2622"/>
      <c r="P42" s="2623"/>
      <c r="Q42" s="2640"/>
      <c r="R42" s="2641"/>
      <c r="S42" s="2642"/>
      <c r="T42" s="2623"/>
      <c r="U42" s="1122" t="s">
        <v>1606</v>
      </c>
      <c r="V42" s="1779">
        <v>500000</v>
      </c>
      <c r="W42" s="1780">
        <v>20</v>
      </c>
      <c r="X42" s="1781" t="s">
        <v>1566</v>
      </c>
      <c r="Y42" s="2630"/>
      <c r="Z42" s="2632"/>
      <c r="AA42" s="2630"/>
      <c r="AB42" s="2630"/>
      <c r="AC42" s="2630"/>
      <c r="AD42" s="2630"/>
      <c r="AE42" s="2630"/>
      <c r="AF42" s="2630"/>
      <c r="AG42" s="2630"/>
      <c r="AH42" s="2630"/>
      <c r="AI42" s="2630"/>
      <c r="AJ42" s="2630"/>
      <c r="AK42" s="2630"/>
      <c r="AL42" s="2630"/>
      <c r="AM42" s="2630"/>
      <c r="AN42" s="2630"/>
      <c r="AO42" s="2628"/>
      <c r="AP42" s="2628"/>
      <c r="AQ42" s="2629"/>
    </row>
    <row r="43" spans="1:43" ht="60" customHeight="1" x14ac:dyDescent="0.2">
      <c r="A43" s="1800"/>
      <c r="D43" s="1801"/>
      <c r="G43" s="1801"/>
      <c r="J43" s="2622"/>
      <c r="K43" s="2623"/>
      <c r="L43" s="2623"/>
      <c r="M43" s="2631"/>
      <c r="N43" s="2622"/>
      <c r="O43" s="2622"/>
      <c r="P43" s="2623"/>
      <c r="Q43" s="2640"/>
      <c r="R43" s="2641"/>
      <c r="S43" s="2642"/>
      <c r="T43" s="1122"/>
      <c r="U43" s="1122" t="s">
        <v>1607</v>
      </c>
      <c r="V43" s="1779">
        <v>500000</v>
      </c>
      <c r="W43" s="1780">
        <v>88</v>
      </c>
      <c r="X43" s="1781" t="s">
        <v>446</v>
      </c>
      <c r="Y43" s="2630"/>
      <c r="Z43" s="2632"/>
      <c r="AA43" s="2630"/>
      <c r="AB43" s="2630"/>
      <c r="AC43" s="2630"/>
      <c r="AD43" s="2630"/>
      <c r="AE43" s="2630"/>
      <c r="AF43" s="2630"/>
      <c r="AG43" s="2630"/>
      <c r="AH43" s="2630"/>
      <c r="AI43" s="2630"/>
      <c r="AJ43" s="2630"/>
      <c r="AK43" s="2630"/>
      <c r="AL43" s="2630"/>
      <c r="AM43" s="2630"/>
      <c r="AN43" s="2630"/>
      <c r="AO43" s="2628"/>
      <c r="AP43" s="2628"/>
      <c r="AQ43" s="2629"/>
    </row>
    <row r="44" spans="1:43" ht="60" customHeight="1" x14ac:dyDescent="0.2">
      <c r="A44" s="1800"/>
      <c r="D44" s="1801"/>
      <c r="G44" s="1801"/>
      <c r="J44" s="2622"/>
      <c r="K44" s="2623"/>
      <c r="L44" s="2623"/>
      <c r="M44" s="2631"/>
      <c r="N44" s="2622"/>
      <c r="O44" s="2622"/>
      <c r="P44" s="2623"/>
      <c r="Q44" s="2640"/>
      <c r="R44" s="2641"/>
      <c r="S44" s="2642"/>
      <c r="T44" s="2635" t="s">
        <v>1608</v>
      </c>
      <c r="U44" s="1122" t="s">
        <v>1609</v>
      </c>
      <c r="V44" s="1802">
        <v>15000000</v>
      </c>
      <c r="W44" s="1780">
        <v>20</v>
      </c>
      <c r="X44" s="1781" t="s">
        <v>1566</v>
      </c>
      <c r="Y44" s="2630"/>
      <c r="Z44" s="2632"/>
      <c r="AA44" s="2630"/>
      <c r="AB44" s="2630"/>
      <c r="AC44" s="2630"/>
      <c r="AD44" s="2630"/>
      <c r="AE44" s="2630"/>
      <c r="AF44" s="2630"/>
      <c r="AG44" s="2630"/>
      <c r="AH44" s="2630"/>
      <c r="AI44" s="2630"/>
      <c r="AJ44" s="2630"/>
      <c r="AK44" s="2630"/>
      <c r="AL44" s="2630"/>
      <c r="AM44" s="2630"/>
      <c r="AN44" s="2630"/>
      <c r="AO44" s="2628"/>
      <c r="AP44" s="2628"/>
      <c r="AQ44" s="2629"/>
    </row>
    <row r="45" spans="1:43" ht="60" customHeight="1" x14ac:dyDescent="0.2">
      <c r="A45" s="1800"/>
      <c r="D45" s="1801"/>
      <c r="G45" s="1801"/>
      <c r="J45" s="2622"/>
      <c r="K45" s="2623"/>
      <c r="L45" s="2623"/>
      <c r="M45" s="2631"/>
      <c r="N45" s="2622"/>
      <c r="O45" s="2622"/>
      <c r="P45" s="2623"/>
      <c r="Q45" s="2640"/>
      <c r="R45" s="2641"/>
      <c r="S45" s="2642"/>
      <c r="T45" s="2637"/>
      <c r="U45" s="1122" t="s">
        <v>1610</v>
      </c>
      <c r="V45" s="1802">
        <v>15000000</v>
      </c>
      <c r="W45" s="1780">
        <v>88</v>
      </c>
      <c r="X45" s="1781" t="s">
        <v>446</v>
      </c>
      <c r="Y45" s="2630"/>
      <c r="Z45" s="2632"/>
      <c r="AA45" s="2630"/>
      <c r="AB45" s="2630"/>
      <c r="AC45" s="2630"/>
      <c r="AD45" s="2630"/>
      <c r="AE45" s="2630"/>
      <c r="AF45" s="2630"/>
      <c r="AG45" s="2630"/>
      <c r="AH45" s="2630"/>
      <c r="AI45" s="2630"/>
      <c r="AJ45" s="2630"/>
      <c r="AK45" s="2630"/>
      <c r="AL45" s="2630"/>
      <c r="AM45" s="2630"/>
      <c r="AN45" s="2630"/>
      <c r="AO45" s="2628"/>
      <c r="AP45" s="2628"/>
      <c r="AQ45" s="2629"/>
    </row>
    <row r="46" spans="1:43" ht="60" customHeight="1" x14ac:dyDescent="0.2">
      <c r="A46" s="1800"/>
      <c r="D46" s="1801"/>
      <c r="G46" s="1801"/>
      <c r="J46" s="2622"/>
      <c r="K46" s="2623"/>
      <c r="L46" s="2623"/>
      <c r="M46" s="2631"/>
      <c r="N46" s="2622"/>
      <c r="O46" s="2622"/>
      <c r="P46" s="2623"/>
      <c r="Q46" s="2640"/>
      <c r="R46" s="2641"/>
      <c r="S46" s="2642"/>
      <c r="T46" s="2623" t="s">
        <v>1611</v>
      </c>
      <c r="U46" s="1122" t="s">
        <v>1612</v>
      </c>
      <c r="V46" s="1802">
        <v>3500000</v>
      </c>
      <c r="W46" s="1780">
        <v>20</v>
      </c>
      <c r="X46" s="1781" t="s">
        <v>1566</v>
      </c>
      <c r="Y46" s="2630"/>
      <c r="Z46" s="2632"/>
      <c r="AA46" s="2630"/>
      <c r="AB46" s="2630"/>
      <c r="AC46" s="2630"/>
      <c r="AD46" s="2630"/>
      <c r="AE46" s="2630"/>
      <c r="AF46" s="2630"/>
      <c r="AG46" s="2630"/>
      <c r="AH46" s="2630"/>
      <c r="AI46" s="2630"/>
      <c r="AJ46" s="2630"/>
      <c r="AK46" s="2630"/>
      <c r="AL46" s="2630"/>
      <c r="AM46" s="2630"/>
      <c r="AN46" s="2630"/>
      <c r="AO46" s="2628"/>
      <c r="AP46" s="2628"/>
      <c r="AQ46" s="2629"/>
    </row>
    <row r="47" spans="1:43" ht="60" customHeight="1" x14ac:dyDescent="0.2">
      <c r="A47" s="1800"/>
      <c r="D47" s="1801"/>
      <c r="G47" s="1801"/>
      <c r="J47" s="2622"/>
      <c r="K47" s="2623"/>
      <c r="L47" s="2623"/>
      <c r="M47" s="2631"/>
      <c r="N47" s="2622"/>
      <c r="O47" s="2622"/>
      <c r="P47" s="2623"/>
      <c r="Q47" s="2640"/>
      <c r="R47" s="2641"/>
      <c r="S47" s="2642"/>
      <c r="T47" s="2623"/>
      <c r="U47" s="1122" t="s">
        <v>1613</v>
      </c>
      <c r="V47" s="1802">
        <v>3500000</v>
      </c>
      <c r="W47" s="1780">
        <v>88</v>
      </c>
      <c r="X47" s="1781" t="s">
        <v>446</v>
      </c>
      <c r="Y47" s="2630"/>
      <c r="Z47" s="2632"/>
      <c r="AA47" s="2630"/>
      <c r="AB47" s="2630"/>
      <c r="AC47" s="2630"/>
      <c r="AD47" s="2630"/>
      <c r="AE47" s="2630"/>
      <c r="AF47" s="2630"/>
      <c r="AG47" s="2630"/>
      <c r="AH47" s="2630"/>
      <c r="AI47" s="2630"/>
      <c r="AJ47" s="2630"/>
      <c r="AK47" s="2630"/>
      <c r="AL47" s="2630"/>
      <c r="AM47" s="2630"/>
      <c r="AN47" s="2630"/>
      <c r="AO47" s="2628"/>
      <c r="AP47" s="2628"/>
      <c r="AQ47" s="2629"/>
    </row>
    <row r="48" spans="1:43" ht="60" customHeight="1" x14ac:dyDescent="0.2">
      <c r="A48" s="1800"/>
      <c r="D48" s="1801"/>
      <c r="G48" s="1801"/>
      <c r="J48" s="2622"/>
      <c r="K48" s="2623"/>
      <c r="L48" s="2623"/>
      <c r="M48" s="2631"/>
      <c r="N48" s="2622"/>
      <c r="O48" s="2622"/>
      <c r="P48" s="2623"/>
      <c r="Q48" s="2640"/>
      <c r="R48" s="2641"/>
      <c r="S48" s="2642"/>
      <c r="T48" s="2623"/>
      <c r="U48" s="1122" t="s">
        <v>1614</v>
      </c>
      <c r="V48" s="1803">
        <v>7000000</v>
      </c>
      <c r="W48" s="1804">
        <v>20</v>
      </c>
      <c r="X48" s="1805" t="s">
        <v>1566</v>
      </c>
      <c r="Y48" s="2630"/>
      <c r="Z48" s="2632"/>
      <c r="AA48" s="2630"/>
      <c r="AB48" s="2630"/>
      <c r="AC48" s="2630"/>
      <c r="AD48" s="2630"/>
      <c r="AE48" s="2630"/>
      <c r="AF48" s="2630"/>
      <c r="AG48" s="2630"/>
      <c r="AH48" s="2630"/>
      <c r="AI48" s="2630"/>
      <c r="AJ48" s="2630"/>
      <c r="AK48" s="2630"/>
      <c r="AL48" s="2630"/>
      <c r="AM48" s="2630"/>
      <c r="AN48" s="2630"/>
      <c r="AO48" s="2628"/>
      <c r="AP48" s="2628"/>
      <c r="AQ48" s="2629"/>
    </row>
    <row r="49" spans="1:43" ht="60" customHeight="1" x14ac:dyDescent="0.2">
      <c r="A49" s="1800"/>
      <c r="D49" s="1801"/>
      <c r="G49" s="1806"/>
      <c r="J49" s="2622"/>
      <c r="K49" s="2623"/>
      <c r="L49" s="2623"/>
      <c r="M49" s="2631"/>
      <c r="N49" s="2622"/>
      <c r="O49" s="2622"/>
      <c r="P49" s="2623"/>
      <c r="Q49" s="2640"/>
      <c r="R49" s="2641"/>
      <c r="S49" s="2642"/>
      <c r="T49" s="2623"/>
      <c r="U49" s="1807" t="s">
        <v>1615</v>
      </c>
      <c r="V49" s="1808">
        <v>7000000</v>
      </c>
      <c r="W49" s="1809">
        <v>88</v>
      </c>
      <c r="X49" s="1118" t="s">
        <v>446</v>
      </c>
      <c r="Y49" s="2639"/>
      <c r="Z49" s="2632"/>
      <c r="AA49" s="2630"/>
      <c r="AB49" s="2630"/>
      <c r="AC49" s="2630"/>
      <c r="AD49" s="2630"/>
      <c r="AE49" s="2630"/>
      <c r="AF49" s="2630"/>
      <c r="AG49" s="2630"/>
      <c r="AH49" s="2630"/>
      <c r="AI49" s="2630"/>
      <c r="AJ49" s="2630"/>
      <c r="AK49" s="2630"/>
      <c r="AL49" s="2630"/>
      <c r="AM49" s="2630"/>
      <c r="AN49" s="2630"/>
      <c r="AO49" s="2628"/>
      <c r="AP49" s="2628"/>
      <c r="AQ49" s="2629"/>
    </row>
    <row r="50" spans="1:43" ht="33.75" customHeight="1" x14ac:dyDescent="0.2">
      <c r="A50" s="1787"/>
      <c r="B50" s="1146"/>
      <c r="C50" s="1146"/>
      <c r="D50" s="1810">
        <v>27</v>
      </c>
      <c r="E50" s="2643" t="s">
        <v>1616</v>
      </c>
      <c r="F50" s="2643"/>
      <c r="G50" s="2643"/>
      <c r="H50" s="2643"/>
      <c r="I50" s="2643"/>
      <c r="J50" s="2643"/>
      <c r="K50" s="2643"/>
      <c r="L50" s="1811"/>
      <c r="M50" s="1812"/>
      <c r="N50" s="1812"/>
      <c r="O50" s="1812"/>
      <c r="P50" s="1811"/>
      <c r="Q50" s="1813"/>
      <c r="R50" s="1814"/>
      <c r="S50" s="1815"/>
      <c r="T50" s="1815"/>
      <c r="U50" s="1816"/>
      <c r="V50" s="1817"/>
      <c r="W50" s="1818"/>
      <c r="X50" s="1819"/>
      <c r="Y50" s="1820"/>
      <c r="Z50" s="1821"/>
      <c r="AA50" s="1820"/>
      <c r="AB50" s="1820"/>
      <c r="AC50" s="1820"/>
      <c r="AD50" s="1820"/>
      <c r="AE50" s="1820"/>
      <c r="AF50" s="1820"/>
      <c r="AG50" s="1820"/>
      <c r="AH50" s="1820"/>
      <c r="AI50" s="1820"/>
      <c r="AJ50" s="1820"/>
      <c r="AK50" s="1820"/>
      <c r="AL50" s="1820"/>
      <c r="AM50" s="1820"/>
      <c r="AN50" s="1820"/>
      <c r="AO50" s="1822"/>
      <c r="AP50" s="1823"/>
      <c r="AQ50" s="1824"/>
    </row>
    <row r="51" spans="1:43" ht="33.75" customHeight="1" x14ac:dyDescent="0.2">
      <c r="A51" s="1787"/>
      <c r="B51" s="1146"/>
      <c r="C51" s="1825"/>
      <c r="D51" s="1788"/>
      <c r="E51" s="1146"/>
      <c r="F51" s="1825"/>
      <c r="G51" s="1762">
        <v>85</v>
      </c>
      <c r="H51" s="2621" t="s">
        <v>1617</v>
      </c>
      <c r="I51" s="2621"/>
      <c r="J51" s="2621"/>
      <c r="K51" s="2621"/>
      <c r="L51" s="1763"/>
      <c r="M51" s="1764"/>
      <c r="N51" s="1764"/>
      <c r="O51" s="1764"/>
      <c r="P51" s="1763"/>
      <c r="Q51" s="1765"/>
      <c r="R51" s="1826"/>
      <c r="S51" s="1790"/>
      <c r="T51" s="1790"/>
      <c r="U51" s="1791"/>
      <c r="V51" s="1768"/>
      <c r="W51" s="1793"/>
      <c r="X51" s="1827"/>
      <c r="Y51" s="1795"/>
      <c r="Z51" s="1796"/>
      <c r="AA51" s="1795"/>
      <c r="AB51" s="1795"/>
      <c r="AC51" s="1795"/>
      <c r="AD51" s="1795"/>
      <c r="AE51" s="1795"/>
      <c r="AF51" s="1795"/>
      <c r="AG51" s="1795"/>
      <c r="AH51" s="1795"/>
      <c r="AI51" s="1795"/>
      <c r="AJ51" s="1795"/>
      <c r="AK51" s="1795"/>
      <c r="AL51" s="1795"/>
      <c r="AM51" s="1795"/>
      <c r="AN51" s="1795"/>
      <c r="AO51" s="1797"/>
      <c r="AP51" s="1798"/>
      <c r="AQ51" s="1799"/>
    </row>
    <row r="52" spans="1:43" ht="115.5" customHeight="1" x14ac:dyDescent="0.2">
      <c r="A52" s="1828"/>
      <c r="B52" s="883"/>
      <c r="C52" s="1829"/>
      <c r="D52" s="1830"/>
      <c r="E52" s="883"/>
      <c r="F52" s="883"/>
      <c r="G52" s="1831"/>
      <c r="H52" s="883"/>
      <c r="I52" s="883"/>
      <c r="J52" s="2622">
        <v>249</v>
      </c>
      <c r="K52" s="2623" t="s">
        <v>1618</v>
      </c>
      <c r="L52" s="2642" t="s">
        <v>1619</v>
      </c>
      <c r="M52" s="2631">
        <v>1</v>
      </c>
      <c r="N52" s="2622" t="s">
        <v>1620</v>
      </c>
      <c r="O52" s="2622" t="s">
        <v>1621</v>
      </c>
      <c r="P52" s="2623" t="s">
        <v>1622</v>
      </c>
      <c r="Q52" s="2640">
        <v>1</v>
      </c>
      <c r="R52" s="2641">
        <f>SUM(V52:V63)</f>
        <v>120000000</v>
      </c>
      <c r="S52" s="2623" t="s">
        <v>1623</v>
      </c>
      <c r="T52" s="2623" t="s">
        <v>1624</v>
      </c>
      <c r="U52" s="1832" t="s">
        <v>1625</v>
      </c>
      <c r="V52" s="1779">
        <v>7354100</v>
      </c>
      <c r="W52" s="1780">
        <v>20</v>
      </c>
      <c r="X52" s="1121" t="s">
        <v>62</v>
      </c>
      <c r="Y52" s="2649">
        <v>294321</v>
      </c>
      <c r="Z52" s="2650">
        <v>283947</v>
      </c>
      <c r="AA52" s="2648">
        <v>135754</v>
      </c>
      <c r="AB52" s="2648">
        <v>44640</v>
      </c>
      <c r="AC52" s="2648">
        <v>308178</v>
      </c>
      <c r="AD52" s="2648">
        <v>89696</v>
      </c>
      <c r="AE52" s="2648">
        <v>2145</v>
      </c>
      <c r="AF52" s="2648">
        <v>12718</v>
      </c>
      <c r="AG52" s="2648">
        <v>26</v>
      </c>
      <c r="AH52" s="2648">
        <v>37</v>
      </c>
      <c r="AI52" s="2648"/>
      <c r="AJ52" s="2648"/>
      <c r="AK52" s="2630">
        <v>54612</v>
      </c>
      <c r="AL52" s="2630">
        <v>16982</v>
      </c>
      <c r="AM52" s="2648">
        <v>1010</v>
      </c>
      <c r="AN52" s="2648">
        <f>Y52+Z52</f>
        <v>578268</v>
      </c>
      <c r="AO52" s="2628">
        <v>43102</v>
      </c>
      <c r="AP52" s="2628">
        <v>43465</v>
      </c>
      <c r="AQ52" s="2622" t="s">
        <v>1567</v>
      </c>
    </row>
    <row r="53" spans="1:43" ht="147" customHeight="1" x14ac:dyDescent="0.2">
      <c r="A53" s="1828"/>
      <c r="B53" s="883"/>
      <c r="C53" s="1829"/>
      <c r="D53" s="1830"/>
      <c r="E53" s="883"/>
      <c r="F53" s="883"/>
      <c r="G53" s="1830"/>
      <c r="H53" s="883"/>
      <c r="I53" s="883"/>
      <c r="J53" s="2622"/>
      <c r="K53" s="2623"/>
      <c r="L53" s="2642"/>
      <c r="M53" s="2631"/>
      <c r="N53" s="2622"/>
      <c r="O53" s="2622"/>
      <c r="P53" s="2623"/>
      <c r="Q53" s="2640"/>
      <c r="R53" s="2641"/>
      <c r="S53" s="2623"/>
      <c r="T53" s="2623"/>
      <c r="U53" s="1832" t="s">
        <v>1626</v>
      </c>
      <c r="V53" s="1779">
        <v>11613500</v>
      </c>
      <c r="W53" s="1780">
        <v>20</v>
      </c>
      <c r="X53" s="1121" t="s">
        <v>62</v>
      </c>
      <c r="Y53" s="2649"/>
      <c r="Z53" s="2650"/>
      <c r="AA53" s="2648"/>
      <c r="AB53" s="2648"/>
      <c r="AC53" s="2648"/>
      <c r="AD53" s="2648"/>
      <c r="AE53" s="2648"/>
      <c r="AF53" s="2648"/>
      <c r="AG53" s="2648"/>
      <c r="AH53" s="2648"/>
      <c r="AI53" s="2648"/>
      <c r="AJ53" s="2648"/>
      <c r="AK53" s="2630"/>
      <c r="AL53" s="2630"/>
      <c r="AM53" s="2648"/>
      <c r="AN53" s="2648"/>
      <c r="AO53" s="2628"/>
      <c r="AP53" s="2628"/>
      <c r="AQ53" s="2622"/>
    </row>
    <row r="54" spans="1:43" ht="147" customHeight="1" x14ac:dyDescent="0.2">
      <c r="A54" s="1828"/>
      <c r="B54" s="883"/>
      <c r="C54" s="1829"/>
      <c r="D54" s="1830"/>
      <c r="E54" s="883"/>
      <c r="F54" s="883"/>
      <c r="G54" s="1830"/>
      <c r="H54" s="883"/>
      <c r="I54" s="883"/>
      <c r="J54" s="2622"/>
      <c r="K54" s="2623"/>
      <c r="L54" s="2642"/>
      <c r="M54" s="2631"/>
      <c r="N54" s="2622"/>
      <c r="O54" s="2622"/>
      <c r="P54" s="2623"/>
      <c r="Q54" s="2640"/>
      <c r="R54" s="2641"/>
      <c r="S54" s="2623"/>
      <c r="T54" s="2623"/>
      <c r="U54" s="1832" t="s">
        <v>1627</v>
      </c>
      <c r="V54" s="1779">
        <v>17700000</v>
      </c>
      <c r="W54" s="1780">
        <v>20</v>
      </c>
      <c r="X54" s="1121" t="s">
        <v>62</v>
      </c>
      <c r="Y54" s="2649"/>
      <c r="Z54" s="2650"/>
      <c r="AA54" s="2648"/>
      <c r="AB54" s="2648"/>
      <c r="AC54" s="2648"/>
      <c r="AD54" s="2648"/>
      <c r="AE54" s="2648"/>
      <c r="AF54" s="2648"/>
      <c r="AG54" s="2648"/>
      <c r="AH54" s="2648"/>
      <c r="AI54" s="2648"/>
      <c r="AJ54" s="2648"/>
      <c r="AK54" s="2630"/>
      <c r="AL54" s="2630"/>
      <c r="AM54" s="2648"/>
      <c r="AN54" s="2648"/>
      <c r="AO54" s="2628"/>
      <c r="AP54" s="2628"/>
      <c r="AQ54" s="2622"/>
    </row>
    <row r="55" spans="1:43" ht="114.75" customHeight="1" x14ac:dyDescent="0.2">
      <c r="A55" s="1828"/>
      <c r="B55" s="883"/>
      <c r="C55" s="1829"/>
      <c r="D55" s="1830"/>
      <c r="E55" s="883"/>
      <c r="F55" s="883"/>
      <c r="G55" s="1830"/>
      <c r="H55" s="883"/>
      <c r="I55" s="883"/>
      <c r="J55" s="2622"/>
      <c r="K55" s="2623"/>
      <c r="L55" s="2642"/>
      <c r="M55" s="2631"/>
      <c r="N55" s="2622"/>
      <c r="O55" s="2622"/>
      <c r="P55" s="2623"/>
      <c r="Q55" s="2640"/>
      <c r="R55" s="2641"/>
      <c r="S55" s="2623"/>
      <c r="T55" s="2623"/>
      <c r="U55" s="1832" t="s">
        <v>1628</v>
      </c>
      <c r="V55" s="1779">
        <v>10000000</v>
      </c>
      <c r="W55" s="1780">
        <v>20</v>
      </c>
      <c r="X55" s="1121" t="s">
        <v>62</v>
      </c>
      <c r="Y55" s="2649"/>
      <c r="Z55" s="2650"/>
      <c r="AA55" s="2648"/>
      <c r="AB55" s="2648"/>
      <c r="AC55" s="2648"/>
      <c r="AD55" s="2648"/>
      <c r="AE55" s="2648"/>
      <c r="AF55" s="2648"/>
      <c r="AG55" s="2648"/>
      <c r="AH55" s="2648"/>
      <c r="AI55" s="2648"/>
      <c r="AJ55" s="2648"/>
      <c r="AK55" s="2630"/>
      <c r="AL55" s="2630"/>
      <c r="AM55" s="2648"/>
      <c r="AN55" s="2648"/>
      <c r="AO55" s="2628"/>
      <c r="AP55" s="2628"/>
      <c r="AQ55" s="2622"/>
    </row>
    <row r="56" spans="1:43" ht="60" customHeight="1" x14ac:dyDescent="0.2">
      <c r="A56" s="1828"/>
      <c r="B56" s="883"/>
      <c r="C56" s="1829"/>
      <c r="D56" s="1830"/>
      <c r="E56" s="883"/>
      <c r="F56" s="883"/>
      <c r="G56" s="1830"/>
      <c r="H56" s="883"/>
      <c r="I56" s="883"/>
      <c r="J56" s="2622"/>
      <c r="K56" s="2623"/>
      <c r="L56" s="2642"/>
      <c r="M56" s="2631"/>
      <c r="N56" s="2622"/>
      <c r="O56" s="2622"/>
      <c r="P56" s="2623"/>
      <c r="Q56" s="2640"/>
      <c r="R56" s="2641"/>
      <c r="S56" s="2623"/>
      <c r="T56" s="2635" t="s">
        <v>1629</v>
      </c>
      <c r="U56" s="1832" t="s">
        <v>1630</v>
      </c>
      <c r="V56" s="1779">
        <f>17718900-7000000</f>
        <v>10718900</v>
      </c>
      <c r="W56" s="1780">
        <v>20</v>
      </c>
      <c r="X56" s="1121" t="s">
        <v>62</v>
      </c>
      <c r="Y56" s="2649"/>
      <c r="Z56" s="2650"/>
      <c r="AA56" s="2648"/>
      <c r="AB56" s="2648"/>
      <c r="AC56" s="2648"/>
      <c r="AD56" s="2648"/>
      <c r="AE56" s="2648"/>
      <c r="AF56" s="2648"/>
      <c r="AG56" s="2648"/>
      <c r="AH56" s="2648"/>
      <c r="AI56" s="2648"/>
      <c r="AJ56" s="2648"/>
      <c r="AK56" s="2630"/>
      <c r="AL56" s="2630"/>
      <c r="AM56" s="2648"/>
      <c r="AN56" s="2648"/>
      <c r="AO56" s="2628"/>
      <c r="AP56" s="2628"/>
      <c r="AQ56" s="2622"/>
    </row>
    <row r="57" spans="1:43" ht="60" customHeight="1" x14ac:dyDescent="0.2">
      <c r="A57" s="1828"/>
      <c r="B57" s="883"/>
      <c r="C57" s="1829"/>
      <c r="D57" s="1830"/>
      <c r="E57" s="883"/>
      <c r="F57" s="883"/>
      <c r="G57" s="1830"/>
      <c r="H57" s="883"/>
      <c r="I57" s="883"/>
      <c r="J57" s="2622"/>
      <c r="K57" s="2623"/>
      <c r="L57" s="2642"/>
      <c r="M57" s="2631"/>
      <c r="N57" s="2622"/>
      <c r="O57" s="2622"/>
      <c r="P57" s="2623"/>
      <c r="Q57" s="2640"/>
      <c r="R57" s="2641"/>
      <c r="S57" s="2623"/>
      <c r="T57" s="2636"/>
      <c r="U57" s="1832" t="s">
        <v>1631</v>
      </c>
      <c r="V57" s="1779">
        <f>0+12000000</f>
        <v>12000000</v>
      </c>
      <c r="W57" s="1780">
        <v>20</v>
      </c>
      <c r="X57" s="1121" t="s">
        <v>62</v>
      </c>
      <c r="Y57" s="2649"/>
      <c r="Z57" s="2650"/>
      <c r="AA57" s="2648"/>
      <c r="AB57" s="2648"/>
      <c r="AC57" s="2648"/>
      <c r="AD57" s="2648"/>
      <c r="AE57" s="2648"/>
      <c r="AF57" s="2648"/>
      <c r="AG57" s="2648"/>
      <c r="AH57" s="2648"/>
      <c r="AI57" s="2648"/>
      <c r="AJ57" s="2648"/>
      <c r="AK57" s="2630"/>
      <c r="AL57" s="2630"/>
      <c r="AM57" s="2648"/>
      <c r="AN57" s="2648"/>
      <c r="AO57" s="2628"/>
      <c r="AP57" s="2628"/>
      <c r="AQ57" s="2622"/>
    </row>
    <row r="58" spans="1:43" ht="60" customHeight="1" x14ac:dyDescent="0.2">
      <c r="A58" s="1828"/>
      <c r="B58" s="883"/>
      <c r="C58" s="1829"/>
      <c r="D58" s="1830"/>
      <c r="E58" s="883"/>
      <c r="F58" s="883"/>
      <c r="G58" s="1830"/>
      <c r="H58" s="883"/>
      <c r="I58" s="883"/>
      <c r="J58" s="2622"/>
      <c r="K58" s="2623"/>
      <c r="L58" s="2642"/>
      <c r="M58" s="2631"/>
      <c r="N58" s="2622"/>
      <c r="O58" s="2622"/>
      <c r="P58" s="2623"/>
      <c r="Q58" s="2640"/>
      <c r="R58" s="2641"/>
      <c r="S58" s="2623"/>
      <c r="T58" s="2636"/>
      <c r="U58" s="1025" t="s">
        <v>1632</v>
      </c>
      <c r="V58" s="1779">
        <v>15613500</v>
      </c>
      <c r="W58" s="1780">
        <v>20</v>
      </c>
      <c r="X58" s="1121" t="s">
        <v>62</v>
      </c>
      <c r="Y58" s="2649"/>
      <c r="Z58" s="2650"/>
      <c r="AA58" s="2648"/>
      <c r="AB58" s="2648"/>
      <c r="AC58" s="2648"/>
      <c r="AD58" s="2648"/>
      <c r="AE58" s="2648"/>
      <c r="AF58" s="2648"/>
      <c r="AG58" s="2648"/>
      <c r="AH58" s="2648"/>
      <c r="AI58" s="2648"/>
      <c r="AJ58" s="2648"/>
      <c r="AK58" s="2630"/>
      <c r="AL58" s="2630"/>
      <c r="AM58" s="2648"/>
      <c r="AN58" s="2648"/>
      <c r="AO58" s="2628"/>
      <c r="AP58" s="2628"/>
      <c r="AQ58" s="2622"/>
    </row>
    <row r="59" spans="1:43" ht="60" customHeight="1" x14ac:dyDescent="0.2">
      <c r="A59" s="1828"/>
      <c r="B59" s="883"/>
      <c r="C59" s="1829"/>
      <c r="D59" s="1830"/>
      <c r="E59" s="883"/>
      <c r="F59" s="883"/>
      <c r="G59" s="1830"/>
      <c r="H59" s="883"/>
      <c r="I59" s="883"/>
      <c r="J59" s="2622"/>
      <c r="K59" s="2623"/>
      <c r="L59" s="2642"/>
      <c r="M59" s="2631"/>
      <c r="N59" s="2622"/>
      <c r="O59" s="2622"/>
      <c r="P59" s="2623"/>
      <c r="Q59" s="2640"/>
      <c r="R59" s="2641"/>
      <c r="S59" s="2623"/>
      <c r="T59" s="2636"/>
      <c r="U59" s="1025" t="s">
        <v>1633</v>
      </c>
      <c r="V59" s="1779">
        <f>0+4000000</f>
        <v>4000000</v>
      </c>
      <c r="W59" s="1780">
        <v>20</v>
      </c>
      <c r="X59" s="1121" t="s">
        <v>62</v>
      </c>
      <c r="Y59" s="2649"/>
      <c r="Z59" s="2650"/>
      <c r="AA59" s="2648"/>
      <c r="AB59" s="2648"/>
      <c r="AC59" s="2648"/>
      <c r="AD59" s="2648"/>
      <c r="AE59" s="2648"/>
      <c r="AF59" s="2648"/>
      <c r="AG59" s="2648"/>
      <c r="AH59" s="2648"/>
      <c r="AI59" s="2648"/>
      <c r="AJ59" s="2648"/>
      <c r="AK59" s="2630"/>
      <c r="AL59" s="2630"/>
      <c r="AM59" s="2648"/>
      <c r="AN59" s="2648"/>
      <c r="AO59" s="2628"/>
      <c r="AP59" s="2628"/>
      <c r="AQ59" s="2622"/>
    </row>
    <row r="60" spans="1:43" ht="60" customHeight="1" x14ac:dyDescent="0.2">
      <c r="A60" s="1828"/>
      <c r="B60" s="883"/>
      <c r="C60" s="1829"/>
      <c r="D60" s="1830"/>
      <c r="E60" s="883"/>
      <c r="F60" s="883"/>
      <c r="G60" s="1830"/>
      <c r="H60" s="883"/>
      <c r="I60" s="883"/>
      <c r="J60" s="2622"/>
      <c r="K60" s="2623"/>
      <c r="L60" s="2642"/>
      <c r="M60" s="2631"/>
      <c r="N60" s="2622"/>
      <c r="O60" s="2622"/>
      <c r="P60" s="2623"/>
      <c r="Q60" s="2640"/>
      <c r="R60" s="2641"/>
      <c r="S60" s="2623"/>
      <c r="T60" s="2636"/>
      <c r="U60" s="1025" t="s">
        <v>1634</v>
      </c>
      <c r="V60" s="1779">
        <f>0+500000</f>
        <v>500000</v>
      </c>
      <c r="W60" s="1780">
        <v>20</v>
      </c>
      <c r="X60" s="1121" t="s">
        <v>62</v>
      </c>
      <c r="Y60" s="2649"/>
      <c r="Z60" s="2650"/>
      <c r="AA60" s="2648"/>
      <c r="AB60" s="2648"/>
      <c r="AC60" s="2648"/>
      <c r="AD60" s="2648"/>
      <c r="AE60" s="2648"/>
      <c r="AF60" s="2648"/>
      <c r="AG60" s="2648"/>
      <c r="AH60" s="2648"/>
      <c r="AI60" s="2648"/>
      <c r="AJ60" s="2648"/>
      <c r="AK60" s="2630"/>
      <c r="AL60" s="2630"/>
      <c r="AM60" s="2648"/>
      <c r="AN60" s="2648"/>
      <c r="AO60" s="2628"/>
      <c r="AP60" s="2628"/>
      <c r="AQ60" s="2622"/>
    </row>
    <row r="61" spans="1:43" ht="60" customHeight="1" x14ac:dyDescent="0.2">
      <c r="A61" s="1828"/>
      <c r="B61" s="883"/>
      <c r="C61" s="1829"/>
      <c r="D61" s="1830"/>
      <c r="E61" s="883"/>
      <c r="F61" s="883"/>
      <c r="G61" s="1830"/>
      <c r="H61" s="883"/>
      <c r="I61" s="883"/>
      <c r="J61" s="2622"/>
      <c r="K61" s="2623"/>
      <c r="L61" s="2642"/>
      <c r="M61" s="2631"/>
      <c r="N61" s="2622"/>
      <c r="O61" s="2622"/>
      <c r="P61" s="2623"/>
      <c r="Q61" s="2640"/>
      <c r="R61" s="2641"/>
      <c r="S61" s="2623"/>
      <c r="T61" s="2637"/>
      <c r="U61" s="1025" t="s">
        <v>1635</v>
      </c>
      <c r="V61" s="1779">
        <f>0+500000</f>
        <v>500000</v>
      </c>
      <c r="W61" s="1780">
        <v>20</v>
      </c>
      <c r="X61" s="1121" t="s">
        <v>62</v>
      </c>
      <c r="Y61" s="2649"/>
      <c r="Z61" s="2650"/>
      <c r="AA61" s="2648"/>
      <c r="AB61" s="2648"/>
      <c r="AC61" s="2648"/>
      <c r="AD61" s="2648"/>
      <c r="AE61" s="2648"/>
      <c r="AF61" s="2648"/>
      <c r="AG61" s="2648"/>
      <c r="AH61" s="2648"/>
      <c r="AI61" s="2648"/>
      <c r="AJ61" s="2648"/>
      <c r="AK61" s="2630"/>
      <c r="AL61" s="2630"/>
      <c r="AM61" s="2648"/>
      <c r="AN61" s="2648"/>
      <c r="AO61" s="2628"/>
      <c r="AP61" s="2628"/>
      <c r="AQ61" s="2622"/>
    </row>
    <row r="62" spans="1:43" ht="60" customHeight="1" x14ac:dyDescent="0.2">
      <c r="A62" s="1828"/>
      <c r="B62" s="883"/>
      <c r="C62" s="1829"/>
      <c r="D62" s="1830"/>
      <c r="E62" s="883"/>
      <c r="F62" s="883"/>
      <c r="G62" s="1830"/>
      <c r="H62" s="883"/>
      <c r="I62" s="883"/>
      <c r="J62" s="2622"/>
      <c r="K62" s="2623"/>
      <c r="L62" s="2642"/>
      <c r="M62" s="2631"/>
      <c r="N62" s="2622"/>
      <c r="O62" s="2622"/>
      <c r="P62" s="2623"/>
      <c r="Q62" s="2640"/>
      <c r="R62" s="2641"/>
      <c r="S62" s="2623"/>
      <c r="T62" s="2623" t="s">
        <v>1636</v>
      </c>
      <c r="U62" s="1833" t="s">
        <v>1637</v>
      </c>
      <c r="V62" s="1779">
        <f>20000000-5000000</f>
        <v>15000000</v>
      </c>
      <c r="W62" s="1780">
        <v>20</v>
      </c>
      <c r="X62" s="1121" t="s">
        <v>62</v>
      </c>
      <c r="Y62" s="2649"/>
      <c r="Z62" s="2650"/>
      <c r="AA62" s="2648"/>
      <c r="AB62" s="2648"/>
      <c r="AC62" s="2648"/>
      <c r="AD62" s="2648"/>
      <c r="AE62" s="2648"/>
      <c r="AF62" s="2648"/>
      <c r="AG62" s="2648"/>
      <c r="AH62" s="2648"/>
      <c r="AI62" s="2648"/>
      <c r="AJ62" s="2648"/>
      <c r="AK62" s="2630"/>
      <c r="AL62" s="2630"/>
      <c r="AM62" s="2648"/>
      <c r="AN62" s="2648"/>
      <c r="AO62" s="2628"/>
      <c r="AP62" s="2628"/>
      <c r="AQ62" s="2622"/>
    </row>
    <row r="63" spans="1:43" ht="60" customHeight="1" x14ac:dyDescent="0.2">
      <c r="A63" s="1828"/>
      <c r="B63" s="883"/>
      <c r="C63" s="1829"/>
      <c r="D63" s="1830"/>
      <c r="E63" s="883"/>
      <c r="F63" s="883"/>
      <c r="G63" s="1830"/>
      <c r="H63" s="883"/>
      <c r="I63" s="883"/>
      <c r="J63" s="2622"/>
      <c r="K63" s="2623"/>
      <c r="L63" s="2642"/>
      <c r="M63" s="2631"/>
      <c r="N63" s="2622"/>
      <c r="O63" s="2622"/>
      <c r="P63" s="2623"/>
      <c r="Q63" s="2640"/>
      <c r="R63" s="2641"/>
      <c r="S63" s="2623"/>
      <c r="T63" s="2623"/>
      <c r="U63" s="1833" t="s">
        <v>1638</v>
      </c>
      <c r="V63" s="1779">
        <f>20000000-5000000</f>
        <v>15000000</v>
      </c>
      <c r="W63" s="1780">
        <v>20</v>
      </c>
      <c r="X63" s="1121" t="s">
        <v>62</v>
      </c>
      <c r="Y63" s="2649"/>
      <c r="Z63" s="2650"/>
      <c r="AA63" s="2648"/>
      <c r="AB63" s="2648"/>
      <c r="AC63" s="2648"/>
      <c r="AD63" s="2648"/>
      <c r="AE63" s="2648"/>
      <c r="AF63" s="2648"/>
      <c r="AG63" s="2648"/>
      <c r="AH63" s="2648"/>
      <c r="AI63" s="2648"/>
      <c r="AJ63" s="2648"/>
      <c r="AK63" s="2630"/>
      <c r="AL63" s="2630"/>
      <c r="AM63" s="2648"/>
      <c r="AN63" s="2648"/>
      <c r="AO63" s="2628"/>
      <c r="AP63" s="2628"/>
      <c r="AQ63" s="2622"/>
    </row>
    <row r="64" spans="1:43" ht="23.25" customHeight="1" x14ac:dyDescent="0.2">
      <c r="A64" s="1787"/>
      <c r="B64" s="1146"/>
      <c r="C64" s="1825"/>
      <c r="D64" s="1834">
        <v>28</v>
      </c>
      <c r="E64" s="1835"/>
      <c r="F64" s="2644" t="s">
        <v>1639</v>
      </c>
      <c r="G64" s="2644"/>
      <c r="H64" s="2644"/>
      <c r="I64" s="2644"/>
      <c r="J64" s="2644"/>
      <c r="K64" s="2644"/>
      <c r="L64" s="1836"/>
      <c r="M64" s="1837"/>
      <c r="N64" s="1837"/>
      <c r="O64" s="1837"/>
      <c r="P64" s="1836"/>
      <c r="Q64" s="1838"/>
      <c r="R64" s="1839"/>
      <c r="S64" s="1840"/>
      <c r="T64" s="1840"/>
      <c r="U64" s="1841"/>
      <c r="V64" s="1842"/>
      <c r="W64" s="1843"/>
      <c r="X64" s="1844"/>
      <c r="Y64" s="1845"/>
      <c r="Z64" s="1846"/>
      <c r="AA64" s="1845"/>
      <c r="AB64" s="1845"/>
      <c r="AC64" s="1845"/>
      <c r="AD64" s="1845"/>
      <c r="AE64" s="1845"/>
      <c r="AF64" s="1845"/>
      <c r="AG64" s="1845"/>
      <c r="AH64" s="1845"/>
      <c r="AI64" s="1845"/>
      <c r="AJ64" s="1845"/>
      <c r="AK64" s="1845"/>
      <c r="AL64" s="1845"/>
      <c r="AM64" s="1845"/>
      <c r="AN64" s="1845"/>
      <c r="AO64" s="1847"/>
      <c r="AP64" s="1848"/>
      <c r="AQ64" s="1849"/>
    </row>
    <row r="65" spans="1:43" ht="27" customHeight="1" x14ac:dyDescent="0.2">
      <c r="A65" s="1787"/>
      <c r="B65" s="1146"/>
      <c r="C65" s="1146"/>
      <c r="D65" s="1850"/>
      <c r="E65" s="1851"/>
      <c r="F65" s="1852"/>
      <c r="G65" s="1762">
        <v>87</v>
      </c>
      <c r="H65" s="1101" t="s">
        <v>1640</v>
      </c>
      <c r="I65" s="1101"/>
      <c r="J65" s="1101"/>
      <c r="K65" s="1101"/>
      <c r="L65" s="1763"/>
      <c r="M65" s="1764"/>
      <c r="N65" s="1103"/>
      <c r="O65" s="1103"/>
      <c r="P65" s="1763"/>
      <c r="Q65" s="1765"/>
      <c r="R65" s="1826"/>
      <c r="S65" s="1790"/>
      <c r="T65" s="1790"/>
      <c r="U65" s="1791"/>
      <c r="V65" s="1768"/>
      <c r="W65" s="1853"/>
      <c r="X65" s="1854"/>
      <c r="Y65" s="1795"/>
      <c r="Z65" s="1796"/>
      <c r="AA65" s="1795"/>
      <c r="AB65" s="1855"/>
      <c r="AC65" s="1855"/>
      <c r="AD65" s="1855"/>
      <c r="AE65" s="1855"/>
      <c r="AF65" s="1855"/>
      <c r="AG65" s="1795"/>
      <c r="AH65" s="1795"/>
      <c r="AI65" s="1795"/>
      <c r="AJ65" s="1795"/>
      <c r="AK65" s="1795"/>
      <c r="AL65" s="1795"/>
      <c r="AM65" s="1795"/>
      <c r="AN65" s="1795"/>
      <c r="AO65" s="1797"/>
      <c r="AP65" s="1798"/>
      <c r="AQ65" s="1799"/>
    </row>
    <row r="66" spans="1:43" ht="48" customHeight="1" x14ac:dyDescent="0.2">
      <c r="A66" s="1800"/>
      <c r="D66" s="1801"/>
      <c r="G66" s="1856"/>
      <c r="H66" s="1857"/>
      <c r="I66" s="1857"/>
      <c r="J66" s="2629">
        <v>257</v>
      </c>
      <c r="K66" s="2623" t="s">
        <v>1641</v>
      </c>
      <c r="L66" s="2623" t="s">
        <v>483</v>
      </c>
      <c r="M66" s="2645">
        <v>1</v>
      </c>
      <c r="N66" s="2646"/>
      <c r="O66" s="2646" t="s">
        <v>1642</v>
      </c>
      <c r="P66" s="2679" t="s">
        <v>1643</v>
      </c>
      <c r="Q66" s="2640">
        <f>SUM(V66:V73)/R66</f>
        <v>0.53037272006344172</v>
      </c>
      <c r="R66" s="2681">
        <f>SUM(V66:V80)</f>
        <v>378300000</v>
      </c>
      <c r="S66" s="2635" t="s">
        <v>1644</v>
      </c>
      <c r="T66" s="2623" t="s">
        <v>1645</v>
      </c>
      <c r="U66" s="1032" t="s">
        <v>1646</v>
      </c>
      <c r="V66" s="1779">
        <f>23200000-1208000</f>
        <v>21992000</v>
      </c>
      <c r="W66" s="1805">
        <v>20</v>
      </c>
      <c r="X66" s="1805" t="s">
        <v>1647</v>
      </c>
      <c r="Y66" s="2652">
        <v>294321</v>
      </c>
      <c r="Z66" s="2666">
        <v>283947</v>
      </c>
      <c r="AA66" s="2676">
        <v>135754</v>
      </c>
      <c r="AB66" s="2675">
        <v>44640</v>
      </c>
      <c r="AC66" s="2675">
        <v>308178</v>
      </c>
      <c r="AD66" s="2675">
        <v>89696</v>
      </c>
      <c r="AE66" s="2675">
        <v>2145</v>
      </c>
      <c r="AF66" s="2675">
        <v>12718</v>
      </c>
      <c r="AG66" s="2666">
        <v>26</v>
      </c>
      <c r="AH66" s="2666">
        <v>37</v>
      </c>
      <c r="AI66" s="2666"/>
      <c r="AJ66" s="2666"/>
      <c r="AK66" s="2630">
        <v>54612</v>
      </c>
      <c r="AL66" s="2666">
        <v>16982</v>
      </c>
      <c r="AM66" s="2666">
        <v>1010</v>
      </c>
      <c r="AN66" s="2666">
        <f>Y66+Z66</f>
        <v>578268</v>
      </c>
      <c r="AO66" s="2669">
        <v>43102</v>
      </c>
      <c r="AP66" s="2669">
        <v>43465</v>
      </c>
      <c r="AQ66" s="2672" t="s">
        <v>1567</v>
      </c>
    </row>
    <row r="67" spans="1:43" ht="48" customHeight="1" x14ac:dyDescent="0.2">
      <c r="A67" s="1800"/>
      <c r="D67" s="1801"/>
      <c r="G67" s="1801"/>
      <c r="J67" s="2629"/>
      <c r="K67" s="2623"/>
      <c r="L67" s="2623"/>
      <c r="M67" s="2645"/>
      <c r="N67" s="2647"/>
      <c r="O67" s="2647"/>
      <c r="P67" s="2680"/>
      <c r="Q67" s="2640"/>
      <c r="R67" s="2682"/>
      <c r="S67" s="2636"/>
      <c r="T67" s="2623"/>
      <c r="U67" s="2656" t="s">
        <v>1648</v>
      </c>
      <c r="V67" s="1779">
        <f>0+69608000</f>
        <v>69608000</v>
      </c>
      <c r="W67" s="1805">
        <v>20</v>
      </c>
      <c r="X67" s="1805" t="s">
        <v>1647</v>
      </c>
      <c r="Y67" s="2653"/>
      <c r="Z67" s="2667"/>
      <c r="AA67" s="2677"/>
      <c r="AB67" s="2675"/>
      <c r="AC67" s="2675"/>
      <c r="AD67" s="2675"/>
      <c r="AE67" s="2675"/>
      <c r="AF67" s="2675"/>
      <c r="AG67" s="2667"/>
      <c r="AH67" s="2667"/>
      <c r="AI67" s="2667"/>
      <c r="AJ67" s="2667"/>
      <c r="AK67" s="2630"/>
      <c r="AL67" s="2667"/>
      <c r="AM67" s="2667"/>
      <c r="AN67" s="2667"/>
      <c r="AO67" s="2670"/>
      <c r="AP67" s="2670"/>
      <c r="AQ67" s="2673"/>
    </row>
    <row r="68" spans="1:43" ht="48" customHeight="1" x14ac:dyDescent="0.2">
      <c r="A68" s="1800"/>
      <c r="D68" s="1801"/>
      <c r="G68" s="1801"/>
      <c r="J68" s="2629"/>
      <c r="K68" s="2623"/>
      <c r="L68" s="2623"/>
      <c r="M68" s="2645"/>
      <c r="N68" s="2647"/>
      <c r="O68" s="2647"/>
      <c r="P68" s="2680"/>
      <c r="Q68" s="2640"/>
      <c r="R68" s="2682"/>
      <c r="S68" s="2636"/>
      <c r="T68" s="2623"/>
      <c r="U68" s="2657"/>
      <c r="V68" s="1858">
        <f>0+25833800</f>
        <v>25833800</v>
      </c>
      <c r="W68" s="1805">
        <v>88</v>
      </c>
      <c r="X68" s="1805" t="s">
        <v>1649</v>
      </c>
      <c r="Y68" s="2653"/>
      <c r="Z68" s="2667"/>
      <c r="AA68" s="2677"/>
      <c r="AB68" s="2675"/>
      <c r="AC68" s="2675"/>
      <c r="AD68" s="2675"/>
      <c r="AE68" s="2675"/>
      <c r="AF68" s="2675"/>
      <c r="AG68" s="2667"/>
      <c r="AH68" s="2667"/>
      <c r="AI68" s="2667"/>
      <c r="AJ68" s="2667"/>
      <c r="AK68" s="2630"/>
      <c r="AL68" s="2667"/>
      <c r="AM68" s="2667"/>
      <c r="AN68" s="2667"/>
      <c r="AO68" s="2670"/>
      <c r="AP68" s="2670"/>
      <c r="AQ68" s="2673"/>
    </row>
    <row r="69" spans="1:43" ht="48" customHeight="1" x14ac:dyDescent="0.2">
      <c r="A69" s="1800"/>
      <c r="D69" s="1801"/>
      <c r="G69" s="1801"/>
      <c r="J69" s="2629"/>
      <c r="K69" s="2623"/>
      <c r="L69" s="2623"/>
      <c r="M69" s="2645"/>
      <c r="N69" s="2647"/>
      <c r="O69" s="2647"/>
      <c r="P69" s="2680"/>
      <c r="Q69" s="2640"/>
      <c r="R69" s="2682"/>
      <c r="S69" s="2636"/>
      <c r="T69" s="2651"/>
      <c r="U69" s="2658" t="s">
        <v>1650</v>
      </c>
      <c r="V69" s="1858">
        <f>68400000-6360000</f>
        <v>62040000</v>
      </c>
      <c r="W69" s="1805" t="s">
        <v>61</v>
      </c>
      <c r="X69" s="1805" t="s">
        <v>1647</v>
      </c>
      <c r="Y69" s="2653"/>
      <c r="Z69" s="2667"/>
      <c r="AA69" s="2677"/>
      <c r="AB69" s="2675"/>
      <c r="AC69" s="2675"/>
      <c r="AD69" s="2675"/>
      <c r="AE69" s="2675"/>
      <c r="AF69" s="2675"/>
      <c r="AG69" s="2667"/>
      <c r="AH69" s="2667"/>
      <c r="AI69" s="2667"/>
      <c r="AJ69" s="2667"/>
      <c r="AK69" s="2630"/>
      <c r="AL69" s="2667"/>
      <c r="AM69" s="2667"/>
      <c r="AN69" s="2667"/>
      <c r="AO69" s="2670"/>
      <c r="AP69" s="2670"/>
      <c r="AQ69" s="2673"/>
    </row>
    <row r="70" spans="1:43" ht="48" customHeight="1" x14ac:dyDescent="0.2">
      <c r="A70" s="1800"/>
      <c r="D70" s="1801"/>
      <c r="G70" s="1801"/>
      <c r="J70" s="2629"/>
      <c r="K70" s="2623"/>
      <c r="L70" s="2623"/>
      <c r="M70" s="2645"/>
      <c r="N70" s="2647"/>
      <c r="O70" s="2647"/>
      <c r="P70" s="2680"/>
      <c r="Q70" s="2640"/>
      <c r="R70" s="2682"/>
      <c r="S70" s="2636"/>
      <c r="T70" s="2651"/>
      <c r="U70" s="2659"/>
      <c r="V70" s="1859">
        <f>0+4584800</f>
        <v>4584800</v>
      </c>
      <c r="W70" s="1860">
        <v>88</v>
      </c>
      <c r="X70" s="1860" t="s">
        <v>1649</v>
      </c>
      <c r="Y70" s="2654"/>
      <c r="Z70" s="2667"/>
      <c r="AA70" s="2677"/>
      <c r="AB70" s="2675"/>
      <c r="AC70" s="2675"/>
      <c r="AD70" s="2675"/>
      <c r="AE70" s="2675"/>
      <c r="AF70" s="2675"/>
      <c r="AG70" s="2667"/>
      <c r="AH70" s="2667"/>
      <c r="AI70" s="2667"/>
      <c r="AJ70" s="2667"/>
      <c r="AK70" s="2630"/>
      <c r="AL70" s="2667"/>
      <c r="AM70" s="2667"/>
      <c r="AN70" s="2667"/>
      <c r="AO70" s="2670"/>
      <c r="AP70" s="2670"/>
      <c r="AQ70" s="2673"/>
    </row>
    <row r="71" spans="1:43" ht="48" customHeight="1" x14ac:dyDescent="0.2">
      <c r="A71" s="1800"/>
      <c r="D71" s="1801"/>
      <c r="G71" s="1801"/>
      <c r="J71" s="2629"/>
      <c r="K71" s="2623"/>
      <c r="L71" s="2623"/>
      <c r="M71" s="2645"/>
      <c r="N71" s="2647"/>
      <c r="O71" s="2647"/>
      <c r="P71" s="2680"/>
      <c r="Q71" s="2640"/>
      <c r="R71" s="2682"/>
      <c r="S71" s="2636"/>
      <c r="T71" s="2651"/>
      <c r="U71" s="1861" t="s">
        <v>1651</v>
      </c>
      <c r="V71" s="1862">
        <f>0+6360000</f>
        <v>6360000</v>
      </c>
      <c r="W71" s="1863">
        <v>20</v>
      </c>
      <c r="X71" s="1863" t="s">
        <v>1647</v>
      </c>
      <c r="Y71" s="2654"/>
      <c r="Z71" s="2667"/>
      <c r="AA71" s="2677"/>
      <c r="AB71" s="2675"/>
      <c r="AC71" s="2675"/>
      <c r="AD71" s="2675"/>
      <c r="AE71" s="2675"/>
      <c r="AF71" s="2675"/>
      <c r="AG71" s="2667"/>
      <c r="AH71" s="2667"/>
      <c r="AI71" s="2667"/>
      <c r="AJ71" s="2667"/>
      <c r="AK71" s="2630"/>
      <c r="AL71" s="2667"/>
      <c r="AM71" s="2667"/>
      <c r="AN71" s="2667"/>
      <c r="AO71" s="2670"/>
      <c r="AP71" s="2670"/>
      <c r="AQ71" s="2673"/>
    </row>
    <row r="72" spans="1:43" ht="48" customHeight="1" x14ac:dyDescent="0.2">
      <c r="A72" s="1800"/>
      <c r="D72" s="1801"/>
      <c r="G72" s="1801"/>
      <c r="J72" s="2629"/>
      <c r="K72" s="2623"/>
      <c r="L72" s="2623"/>
      <c r="M72" s="2645"/>
      <c r="N72" s="2647"/>
      <c r="O72" s="2647"/>
      <c r="P72" s="2680"/>
      <c r="Q72" s="2640"/>
      <c r="R72" s="2682"/>
      <c r="S72" s="2636"/>
      <c r="T72" s="2651"/>
      <c r="U72" s="1864" t="s">
        <v>1652</v>
      </c>
      <c r="V72" s="1859">
        <f>0+3000000</f>
        <v>3000000</v>
      </c>
      <c r="W72" s="1860">
        <v>88</v>
      </c>
      <c r="X72" s="1860" t="s">
        <v>1649</v>
      </c>
      <c r="Y72" s="2654"/>
      <c r="Z72" s="2667"/>
      <c r="AA72" s="2677"/>
      <c r="AB72" s="2675"/>
      <c r="AC72" s="2675"/>
      <c r="AD72" s="2675"/>
      <c r="AE72" s="2675"/>
      <c r="AF72" s="2675"/>
      <c r="AG72" s="2667"/>
      <c r="AH72" s="2667"/>
      <c r="AI72" s="2667"/>
      <c r="AJ72" s="2667"/>
      <c r="AK72" s="2630"/>
      <c r="AL72" s="2667"/>
      <c r="AM72" s="2667"/>
      <c r="AN72" s="2667"/>
      <c r="AO72" s="2670"/>
      <c r="AP72" s="2670"/>
      <c r="AQ72" s="2673"/>
    </row>
    <row r="73" spans="1:43" ht="48" customHeight="1" x14ac:dyDescent="0.2">
      <c r="A73" s="1800"/>
      <c r="D73" s="1801"/>
      <c r="G73" s="1801"/>
      <c r="I73" s="1865"/>
      <c r="J73" s="2629"/>
      <c r="K73" s="2623"/>
      <c r="L73" s="2623"/>
      <c r="M73" s="2645"/>
      <c r="N73" s="2647"/>
      <c r="O73" s="2647"/>
      <c r="P73" s="2680"/>
      <c r="Q73" s="2640"/>
      <c r="R73" s="2682"/>
      <c r="S73" s="2636"/>
      <c r="T73" s="2651"/>
      <c r="U73" s="1866" t="s">
        <v>1653</v>
      </c>
      <c r="V73" s="1867">
        <f>0+7221400</f>
        <v>7221400</v>
      </c>
      <c r="W73" s="1860">
        <v>88</v>
      </c>
      <c r="X73" s="1860" t="s">
        <v>1649</v>
      </c>
      <c r="Y73" s="2654"/>
      <c r="Z73" s="2667"/>
      <c r="AA73" s="2677"/>
      <c r="AB73" s="2675"/>
      <c r="AC73" s="2675"/>
      <c r="AD73" s="2675"/>
      <c r="AE73" s="2675"/>
      <c r="AF73" s="2675"/>
      <c r="AG73" s="2667"/>
      <c r="AH73" s="2667"/>
      <c r="AI73" s="2667"/>
      <c r="AJ73" s="2667"/>
      <c r="AK73" s="2630"/>
      <c r="AL73" s="2667"/>
      <c r="AM73" s="2667"/>
      <c r="AN73" s="2667"/>
      <c r="AO73" s="2670"/>
      <c r="AP73" s="2670"/>
      <c r="AQ73" s="2673"/>
    </row>
    <row r="74" spans="1:43" ht="80.25" customHeight="1" x14ac:dyDescent="0.2">
      <c r="A74" s="1800"/>
      <c r="D74" s="1801"/>
      <c r="G74" s="1801"/>
      <c r="I74" s="1865"/>
      <c r="J74" s="1805">
        <v>258</v>
      </c>
      <c r="K74" s="1868" t="s">
        <v>1654</v>
      </c>
      <c r="L74" s="1868" t="s">
        <v>1655</v>
      </c>
      <c r="M74" s="1804">
        <v>1</v>
      </c>
      <c r="N74" s="2647"/>
      <c r="O74" s="2647"/>
      <c r="P74" s="2680"/>
      <c r="Q74" s="1869">
        <f>(V74)/R66</f>
        <v>7.8773460216759184E-2</v>
      </c>
      <c r="R74" s="2682"/>
      <c r="S74" s="2636"/>
      <c r="T74" s="1868" t="s">
        <v>1656</v>
      </c>
      <c r="U74" s="1870" t="s">
        <v>1657</v>
      </c>
      <c r="V74" s="1871">
        <v>29800000</v>
      </c>
      <c r="W74" s="1872">
        <v>20</v>
      </c>
      <c r="X74" s="1872" t="s">
        <v>1647</v>
      </c>
      <c r="Y74" s="2653"/>
      <c r="Z74" s="2667"/>
      <c r="AA74" s="2677"/>
      <c r="AB74" s="2675"/>
      <c r="AC74" s="2675"/>
      <c r="AD74" s="2675"/>
      <c r="AE74" s="2675"/>
      <c r="AF74" s="2675"/>
      <c r="AG74" s="2667"/>
      <c r="AH74" s="2667"/>
      <c r="AI74" s="2667"/>
      <c r="AJ74" s="2667"/>
      <c r="AK74" s="2630"/>
      <c r="AL74" s="2667"/>
      <c r="AM74" s="2667"/>
      <c r="AN74" s="2667"/>
      <c r="AO74" s="2670"/>
      <c r="AP74" s="2670"/>
      <c r="AQ74" s="2673"/>
    </row>
    <row r="75" spans="1:43" ht="84.75" customHeight="1" x14ac:dyDescent="0.2">
      <c r="A75" s="1800"/>
      <c r="D75" s="1801"/>
      <c r="G75" s="1801"/>
      <c r="J75" s="1781">
        <v>259</v>
      </c>
      <c r="K75" s="1122" t="s">
        <v>1658</v>
      </c>
      <c r="L75" s="1122" t="s">
        <v>1659</v>
      </c>
      <c r="M75" s="1873">
        <v>1</v>
      </c>
      <c r="N75" s="2647"/>
      <c r="O75" s="2647"/>
      <c r="P75" s="2680"/>
      <c r="Q75" s="1874">
        <f>V75/R66</f>
        <v>2.2468939994713191E-2</v>
      </c>
      <c r="R75" s="2682"/>
      <c r="S75" s="2636"/>
      <c r="T75" s="1122" t="s">
        <v>1660</v>
      </c>
      <c r="U75" s="1032" t="s">
        <v>1661</v>
      </c>
      <c r="V75" s="1779">
        <v>8500000</v>
      </c>
      <c r="W75" s="1805" t="s">
        <v>816</v>
      </c>
      <c r="X75" s="1805" t="s">
        <v>1647</v>
      </c>
      <c r="Y75" s="2653"/>
      <c r="Z75" s="2667"/>
      <c r="AA75" s="2677"/>
      <c r="AB75" s="2675"/>
      <c r="AC75" s="2675"/>
      <c r="AD75" s="2675"/>
      <c r="AE75" s="2675"/>
      <c r="AF75" s="2675"/>
      <c r="AG75" s="2667"/>
      <c r="AH75" s="2667"/>
      <c r="AI75" s="2667"/>
      <c r="AJ75" s="2667"/>
      <c r="AK75" s="2630"/>
      <c r="AL75" s="2667"/>
      <c r="AM75" s="2667"/>
      <c r="AN75" s="2667"/>
      <c r="AO75" s="2670"/>
      <c r="AP75" s="2670"/>
      <c r="AQ75" s="2673"/>
    </row>
    <row r="76" spans="1:43" ht="65.25" customHeight="1" x14ac:dyDescent="0.2">
      <c r="A76" s="1800"/>
      <c r="D76" s="1801"/>
      <c r="G76" s="1801"/>
      <c r="J76" s="1781">
        <v>263</v>
      </c>
      <c r="K76" s="1122" t="s">
        <v>1662</v>
      </c>
      <c r="L76" s="1122" t="s">
        <v>1663</v>
      </c>
      <c r="M76" s="1873">
        <v>1</v>
      </c>
      <c r="N76" s="2647"/>
      <c r="O76" s="2647"/>
      <c r="P76" s="2680"/>
      <c r="Q76" s="1874">
        <f>V76/R66</f>
        <v>0.21147237642083003</v>
      </c>
      <c r="R76" s="2682"/>
      <c r="S76" s="2636"/>
      <c r="T76" s="1122" t="s">
        <v>1664</v>
      </c>
      <c r="U76" s="914" t="s">
        <v>1665</v>
      </c>
      <c r="V76" s="1779">
        <v>80000000</v>
      </c>
      <c r="W76" s="1805">
        <v>20</v>
      </c>
      <c r="X76" s="1805" t="s">
        <v>1647</v>
      </c>
      <c r="Y76" s="2653"/>
      <c r="Z76" s="2667"/>
      <c r="AA76" s="2677"/>
      <c r="AB76" s="2675"/>
      <c r="AC76" s="2675"/>
      <c r="AD76" s="2675"/>
      <c r="AE76" s="2675"/>
      <c r="AF76" s="2675"/>
      <c r="AG76" s="2667"/>
      <c r="AH76" s="2667"/>
      <c r="AI76" s="2667"/>
      <c r="AJ76" s="2667"/>
      <c r="AK76" s="2630"/>
      <c r="AL76" s="2667"/>
      <c r="AM76" s="2667"/>
      <c r="AN76" s="2667"/>
      <c r="AO76" s="2670"/>
      <c r="AP76" s="2670"/>
      <c r="AQ76" s="2673"/>
    </row>
    <row r="77" spans="1:43" ht="60" customHeight="1" x14ac:dyDescent="0.2">
      <c r="A77" s="1800"/>
      <c r="D77" s="1801"/>
      <c r="G77" s="1801"/>
      <c r="J77" s="2672">
        <v>261</v>
      </c>
      <c r="K77" s="2635" t="s">
        <v>1666</v>
      </c>
      <c r="L77" s="2635" t="s">
        <v>1667</v>
      </c>
      <c r="M77" s="2662">
        <v>2</v>
      </c>
      <c r="N77" s="2647"/>
      <c r="O77" s="2647"/>
      <c r="P77" s="2680"/>
      <c r="Q77" s="2664">
        <f>SUM(V77:V80)/R66</f>
        <v>0.15691250330425588</v>
      </c>
      <c r="R77" s="2682"/>
      <c r="S77" s="2636"/>
      <c r="T77" s="2635" t="s">
        <v>1668</v>
      </c>
      <c r="U77" s="2656" t="s">
        <v>1669</v>
      </c>
      <c r="V77" s="1779">
        <v>26400000</v>
      </c>
      <c r="W77" s="1805">
        <v>20</v>
      </c>
      <c r="X77" s="1805" t="s">
        <v>1647</v>
      </c>
      <c r="Y77" s="2653"/>
      <c r="Z77" s="2667"/>
      <c r="AA77" s="2677"/>
      <c r="AB77" s="2675"/>
      <c r="AC77" s="2675"/>
      <c r="AD77" s="2675"/>
      <c r="AE77" s="2675"/>
      <c r="AF77" s="2675"/>
      <c r="AG77" s="2667"/>
      <c r="AH77" s="2667"/>
      <c r="AI77" s="2667"/>
      <c r="AJ77" s="2667"/>
      <c r="AK77" s="2630"/>
      <c r="AL77" s="2667"/>
      <c r="AM77" s="2667"/>
      <c r="AN77" s="2667"/>
      <c r="AO77" s="2670"/>
      <c r="AP77" s="2670"/>
      <c r="AQ77" s="2673"/>
    </row>
    <row r="78" spans="1:43" ht="60" customHeight="1" x14ac:dyDescent="0.2">
      <c r="A78" s="1800"/>
      <c r="D78" s="1801"/>
      <c r="G78" s="1801"/>
      <c r="J78" s="2673"/>
      <c r="K78" s="2636"/>
      <c r="L78" s="2636"/>
      <c r="M78" s="2663"/>
      <c r="N78" s="2647"/>
      <c r="O78" s="2647"/>
      <c r="P78" s="2680"/>
      <c r="Q78" s="2665"/>
      <c r="R78" s="2682"/>
      <c r="S78" s="2636"/>
      <c r="T78" s="2636"/>
      <c r="U78" s="2657"/>
      <c r="V78" s="1875">
        <f>0+8760000</f>
        <v>8760000</v>
      </c>
      <c r="W78" s="1860">
        <v>88</v>
      </c>
      <c r="X78" s="1860" t="s">
        <v>1670</v>
      </c>
      <c r="Y78" s="2653"/>
      <c r="Z78" s="2667"/>
      <c r="AA78" s="2677"/>
      <c r="AB78" s="2675"/>
      <c r="AC78" s="2675"/>
      <c r="AD78" s="2675"/>
      <c r="AE78" s="2675"/>
      <c r="AF78" s="2675"/>
      <c r="AG78" s="2667"/>
      <c r="AH78" s="2667"/>
      <c r="AI78" s="2667"/>
      <c r="AJ78" s="2667"/>
      <c r="AK78" s="2630"/>
      <c r="AL78" s="2667"/>
      <c r="AM78" s="2667"/>
      <c r="AN78" s="2667"/>
      <c r="AO78" s="2670"/>
      <c r="AP78" s="2670"/>
      <c r="AQ78" s="2673"/>
    </row>
    <row r="79" spans="1:43" ht="60" customHeight="1" x14ac:dyDescent="0.2">
      <c r="A79" s="1800"/>
      <c r="D79" s="1801"/>
      <c r="G79" s="1801"/>
      <c r="J79" s="2673"/>
      <c r="K79" s="2636"/>
      <c r="L79" s="2636"/>
      <c r="M79" s="2663"/>
      <c r="N79" s="2647"/>
      <c r="O79" s="2647"/>
      <c r="P79" s="2680"/>
      <c r="Q79" s="2665"/>
      <c r="R79" s="2682"/>
      <c r="S79" s="2636"/>
      <c r="T79" s="2636"/>
      <c r="U79" s="2660" t="s">
        <v>1671</v>
      </c>
      <c r="V79" s="1876">
        <v>13600000</v>
      </c>
      <c r="W79" s="1805">
        <v>20</v>
      </c>
      <c r="X79" s="1805" t="s">
        <v>1647</v>
      </c>
      <c r="Y79" s="2653"/>
      <c r="Z79" s="2667"/>
      <c r="AA79" s="2677"/>
      <c r="AB79" s="2675"/>
      <c r="AC79" s="2675"/>
      <c r="AD79" s="2675"/>
      <c r="AE79" s="2675"/>
      <c r="AF79" s="2675"/>
      <c r="AG79" s="2667"/>
      <c r="AH79" s="2667"/>
      <c r="AI79" s="2667"/>
      <c r="AJ79" s="2667"/>
      <c r="AK79" s="2630"/>
      <c r="AL79" s="2667"/>
      <c r="AM79" s="2667"/>
      <c r="AN79" s="2667"/>
      <c r="AO79" s="2670"/>
      <c r="AP79" s="2670"/>
      <c r="AQ79" s="2673"/>
    </row>
    <row r="80" spans="1:43" ht="60" customHeight="1" x14ac:dyDescent="0.2">
      <c r="A80" s="1800"/>
      <c r="D80" s="1801"/>
      <c r="G80" s="1801"/>
      <c r="J80" s="2673"/>
      <c r="K80" s="2636"/>
      <c r="L80" s="2636"/>
      <c r="M80" s="2663"/>
      <c r="N80" s="2647"/>
      <c r="O80" s="2647"/>
      <c r="P80" s="2680"/>
      <c r="Q80" s="2665"/>
      <c r="R80" s="2682"/>
      <c r="S80" s="2637"/>
      <c r="T80" s="2637"/>
      <c r="U80" s="2661"/>
      <c r="V80" s="1867">
        <f>0+10600000</f>
        <v>10600000</v>
      </c>
      <c r="W80" s="1860">
        <v>88</v>
      </c>
      <c r="X80" s="1860" t="s">
        <v>1670</v>
      </c>
      <c r="Y80" s="2655"/>
      <c r="Z80" s="2668"/>
      <c r="AA80" s="2678"/>
      <c r="AB80" s="2675"/>
      <c r="AC80" s="2675"/>
      <c r="AD80" s="2675"/>
      <c r="AE80" s="2675"/>
      <c r="AF80" s="2675"/>
      <c r="AG80" s="2668"/>
      <c r="AH80" s="2668"/>
      <c r="AI80" s="2668"/>
      <c r="AJ80" s="2668"/>
      <c r="AK80" s="2630"/>
      <c r="AL80" s="2668"/>
      <c r="AM80" s="2668"/>
      <c r="AN80" s="2668"/>
      <c r="AO80" s="2671"/>
      <c r="AP80" s="2671"/>
      <c r="AQ80" s="2674"/>
    </row>
    <row r="81" spans="1:43" ht="36" customHeight="1" x14ac:dyDescent="0.2">
      <c r="A81" s="1773"/>
      <c r="D81" s="1775"/>
      <c r="E81" s="2683"/>
      <c r="F81" s="2683"/>
      <c r="G81" s="2684"/>
      <c r="H81" s="2683"/>
      <c r="I81" s="2683"/>
      <c r="J81" s="2685">
        <v>262</v>
      </c>
      <c r="K81" s="2687" t="s">
        <v>1672</v>
      </c>
      <c r="L81" s="2687" t="s">
        <v>1673</v>
      </c>
      <c r="M81" s="2685">
        <v>1</v>
      </c>
      <c r="N81" s="2685" t="s">
        <v>1674</v>
      </c>
      <c r="O81" s="2685" t="s">
        <v>1675</v>
      </c>
      <c r="P81" s="2687" t="s">
        <v>1676</v>
      </c>
      <c r="Q81" s="2705">
        <v>1</v>
      </c>
      <c r="R81" s="2707">
        <f>SUM(V81:V89)</f>
        <v>59999999.999999993</v>
      </c>
      <c r="S81" s="2701" t="s">
        <v>1677</v>
      </c>
      <c r="T81" s="2702" t="s">
        <v>1678</v>
      </c>
      <c r="U81" s="2691" t="s">
        <v>1679</v>
      </c>
      <c r="V81" s="1877">
        <v>6000000</v>
      </c>
      <c r="W81" s="1872">
        <v>20</v>
      </c>
      <c r="X81" s="1878" t="s">
        <v>1680</v>
      </c>
      <c r="Y81" s="2648">
        <v>294321</v>
      </c>
      <c r="Z81" s="2650">
        <v>283947</v>
      </c>
      <c r="AA81" s="2648">
        <v>135754</v>
      </c>
      <c r="AB81" s="2694">
        <v>44640</v>
      </c>
      <c r="AC81" s="2694">
        <v>308178</v>
      </c>
      <c r="AD81" s="2694">
        <v>89696</v>
      </c>
      <c r="AE81" s="2694">
        <v>2145</v>
      </c>
      <c r="AF81" s="2694">
        <v>12718</v>
      </c>
      <c r="AG81" s="2648">
        <v>26</v>
      </c>
      <c r="AH81" s="2693">
        <v>37</v>
      </c>
      <c r="AI81" s="2648"/>
      <c r="AJ81" s="2648"/>
      <c r="AK81" s="2648">
        <v>54612</v>
      </c>
      <c r="AL81" s="2648">
        <v>16982</v>
      </c>
      <c r="AM81" s="2648">
        <v>1010</v>
      </c>
      <c r="AN81" s="2648">
        <f>Y81+Z81</f>
        <v>578268</v>
      </c>
      <c r="AO81" s="2628">
        <v>43102</v>
      </c>
      <c r="AP81" s="2628">
        <v>43465</v>
      </c>
      <c r="AQ81" s="2629" t="s">
        <v>1681</v>
      </c>
    </row>
    <row r="82" spans="1:43" ht="62.25" customHeight="1" x14ac:dyDescent="0.2">
      <c r="A82" s="1773"/>
      <c r="D82" s="1775"/>
      <c r="E82" s="2683"/>
      <c r="F82" s="2683"/>
      <c r="G82" s="2684"/>
      <c r="H82" s="2683"/>
      <c r="I82" s="2683"/>
      <c r="J82" s="2685"/>
      <c r="K82" s="2687"/>
      <c r="L82" s="2687"/>
      <c r="M82" s="2685"/>
      <c r="N82" s="2685"/>
      <c r="O82" s="2685"/>
      <c r="P82" s="2687"/>
      <c r="Q82" s="2705"/>
      <c r="R82" s="2707"/>
      <c r="S82" s="2701"/>
      <c r="T82" s="2703"/>
      <c r="U82" s="2692"/>
      <c r="V82" s="1875">
        <f>0+4500000</f>
        <v>4500000</v>
      </c>
      <c r="W82" s="1805">
        <v>88</v>
      </c>
      <c r="X82" s="1781" t="s">
        <v>1670</v>
      </c>
      <c r="Y82" s="2648"/>
      <c r="Z82" s="2650"/>
      <c r="AA82" s="2648"/>
      <c r="AB82" s="2694"/>
      <c r="AC82" s="2694"/>
      <c r="AD82" s="2694"/>
      <c r="AE82" s="2694"/>
      <c r="AF82" s="2694"/>
      <c r="AG82" s="2648"/>
      <c r="AH82" s="2693"/>
      <c r="AI82" s="2648"/>
      <c r="AJ82" s="2648"/>
      <c r="AK82" s="2648"/>
      <c r="AL82" s="2648"/>
      <c r="AM82" s="2648"/>
      <c r="AN82" s="2648"/>
      <c r="AO82" s="2628"/>
      <c r="AP82" s="2628"/>
      <c r="AQ82" s="2629"/>
    </row>
    <row r="83" spans="1:43" ht="56.25" customHeight="1" x14ac:dyDescent="0.2">
      <c r="A83" s="1773"/>
      <c r="D83" s="1775"/>
      <c r="E83" s="2683"/>
      <c r="F83" s="2683"/>
      <c r="G83" s="2684"/>
      <c r="H83" s="2683"/>
      <c r="I83" s="2683"/>
      <c r="J83" s="2685"/>
      <c r="K83" s="2687"/>
      <c r="L83" s="2687"/>
      <c r="M83" s="2685"/>
      <c r="N83" s="2685"/>
      <c r="O83" s="2685"/>
      <c r="P83" s="2687"/>
      <c r="Q83" s="2705"/>
      <c r="R83" s="2707"/>
      <c r="S83" s="2701"/>
      <c r="T83" s="2703"/>
      <c r="U83" s="2689" t="s">
        <v>1682</v>
      </c>
      <c r="V83" s="1875">
        <v>3600000</v>
      </c>
      <c r="W83" s="1805" t="s">
        <v>816</v>
      </c>
      <c r="X83" s="1878" t="s">
        <v>1647</v>
      </c>
      <c r="Y83" s="2648"/>
      <c r="Z83" s="2650"/>
      <c r="AA83" s="2648"/>
      <c r="AB83" s="2694"/>
      <c r="AC83" s="2694"/>
      <c r="AD83" s="2694"/>
      <c r="AE83" s="2694"/>
      <c r="AF83" s="2694"/>
      <c r="AG83" s="2648"/>
      <c r="AH83" s="2693"/>
      <c r="AI83" s="2648"/>
      <c r="AJ83" s="2648"/>
      <c r="AK83" s="2648"/>
      <c r="AL83" s="2648"/>
      <c r="AM83" s="2648"/>
      <c r="AN83" s="2648"/>
      <c r="AO83" s="2628"/>
      <c r="AP83" s="2628"/>
      <c r="AQ83" s="2629"/>
    </row>
    <row r="84" spans="1:43" ht="55.5" customHeight="1" x14ac:dyDescent="0.2">
      <c r="A84" s="1773"/>
      <c r="D84" s="1775"/>
      <c r="E84" s="2683"/>
      <c r="F84" s="2683"/>
      <c r="G84" s="2684"/>
      <c r="H84" s="2683"/>
      <c r="I84" s="2683"/>
      <c r="J84" s="2685"/>
      <c r="K84" s="2687"/>
      <c r="L84" s="2687"/>
      <c r="M84" s="2685"/>
      <c r="N84" s="2685"/>
      <c r="O84" s="2685"/>
      <c r="P84" s="2687"/>
      <c r="Q84" s="2705"/>
      <c r="R84" s="2707"/>
      <c r="S84" s="2701"/>
      <c r="T84" s="2703"/>
      <c r="U84" s="2690"/>
      <c r="V84" s="1875">
        <f>0+9300000</f>
        <v>9300000</v>
      </c>
      <c r="W84" s="1805">
        <v>88</v>
      </c>
      <c r="X84" s="1781" t="s">
        <v>1670</v>
      </c>
      <c r="Y84" s="2648"/>
      <c r="Z84" s="2650"/>
      <c r="AA84" s="2648"/>
      <c r="AB84" s="2694"/>
      <c r="AC84" s="2694"/>
      <c r="AD84" s="2694"/>
      <c r="AE84" s="2694"/>
      <c r="AF84" s="2694"/>
      <c r="AG84" s="2648"/>
      <c r="AH84" s="2693"/>
      <c r="AI84" s="2648"/>
      <c r="AJ84" s="2648"/>
      <c r="AK84" s="2648"/>
      <c r="AL84" s="2648"/>
      <c r="AM84" s="2648"/>
      <c r="AN84" s="2648"/>
      <c r="AO84" s="2628"/>
      <c r="AP84" s="2628"/>
      <c r="AQ84" s="2629"/>
    </row>
    <row r="85" spans="1:43" ht="42.75" customHeight="1" x14ac:dyDescent="0.2">
      <c r="A85" s="1773"/>
      <c r="D85" s="1775"/>
      <c r="E85" s="2683"/>
      <c r="F85" s="2683"/>
      <c r="G85" s="2684"/>
      <c r="H85" s="2683"/>
      <c r="I85" s="2683"/>
      <c r="J85" s="2685"/>
      <c r="K85" s="2687"/>
      <c r="L85" s="2687"/>
      <c r="M85" s="2685"/>
      <c r="N85" s="2685"/>
      <c r="O85" s="2685"/>
      <c r="P85" s="2687"/>
      <c r="Q85" s="2705"/>
      <c r="R85" s="2707"/>
      <c r="S85" s="2701"/>
      <c r="T85" s="2703"/>
      <c r="U85" s="2691" t="s">
        <v>1683</v>
      </c>
      <c r="V85" s="1875">
        <v>960000</v>
      </c>
      <c r="W85" s="1805">
        <v>20</v>
      </c>
      <c r="X85" s="1878" t="s">
        <v>1647</v>
      </c>
      <c r="Y85" s="2648"/>
      <c r="Z85" s="2650"/>
      <c r="AA85" s="2648"/>
      <c r="AB85" s="2648"/>
      <c r="AC85" s="2648"/>
      <c r="AD85" s="2648"/>
      <c r="AE85" s="2648"/>
      <c r="AF85" s="2648"/>
      <c r="AG85" s="2648"/>
      <c r="AH85" s="2693"/>
      <c r="AI85" s="2648"/>
      <c r="AJ85" s="2648"/>
      <c r="AK85" s="2648"/>
      <c r="AL85" s="2648"/>
      <c r="AM85" s="2648"/>
      <c r="AN85" s="2648"/>
      <c r="AO85" s="2628"/>
      <c r="AP85" s="2628"/>
      <c r="AQ85" s="2629"/>
    </row>
    <row r="86" spans="1:43" ht="52.5" customHeight="1" x14ac:dyDescent="0.2">
      <c r="A86" s="1773"/>
      <c r="D86" s="1775"/>
      <c r="E86" s="2683"/>
      <c r="F86" s="2683"/>
      <c r="G86" s="2684"/>
      <c r="H86" s="2683"/>
      <c r="I86" s="2683"/>
      <c r="J86" s="2685"/>
      <c r="K86" s="2687"/>
      <c r="L86" s="2687"/>
      <c r="M86" s="2685"/>
      <c r="N86" s="2685"/>
      <c r="O86" s="2685"/>
      <c r="P86" s="2687"/>
      <c r="Q86" s="2705"/>
      <c r="R86" s="2707"/>
      <c r="S86" s="2701"/>
      <c r="T86" s="2703"/>
      <c r="U86" s="2692"/>
      <c r="V86" s="1876">
        <f>0+3888666.63</f>
        <v>3888666.63</v>
      </c>
      <c r="W86" s="1805">
        <v>88</v>
      </c>
      <c r="X86" s="1805" t="s">
        <v>1670</v>
      </c>
      <c r="Y86" s="2648"/>
      <c r="Z86" s="2650"/>
      <c r="AA86" s="2648"/>
      <c r="AB86" s="2648"/>
      <c r="AC86" s="2648"/>
      <c r="AD86" s="2648"/>
      <c r="AE86" s="2648"/>
      <c r="AF86" s="2648"/>
      <c r="AG86" s="2648"/>
      <c r="AH86" s="2693"/>
      <c r="AI86" s="2648"/>
      <c r="AJ86" s="2648"/>
      <c r="AK86" s="2648"/>
      <c r="AL86" s="2648"/>
      <c r="AM86" s="2648"/>
      <c r="AN86" s="2648"/>
      <c r="AO86" s="2628"/>
      <c r="AP86" s="2628"/>
      <c r="AQ86" s="2629"/>
    </row>
    <row r="87" spans="1:43" ht="90.75" customHeight="1" x14ac:dyDescent="0.2">
      <c r="A87" s="1773"/>
      <c r="D87" s="1775"/>
      <c r="E87" s="2683"/>
      <c r="F87" s="2683"/>
      <c r="G87" s="2684"/>
      <c r="H87" s="2683"/>
      <c r="I87" s="2683"/>
      <c r="J87" s="2685"/>
      <c r="K87" s="2687"/>
      <c r="L87" s="2687"/>
      <c r="M87" s="2685"/>
      <c r="N87" s="2685"/>
      <c r="O87" s="2685"/>
      <c r="P87" s="2687"/>
      <c r="Q87" s="2705"/>
      <c r="R87" s="2707"/>
      <c r="S87" s="2701"/>
      <c r="T87" s="2703"/>
      <c r="U87" s="1879" t="s">
        <v>1684</v>
      </c>
      <c r="V87" s="1859">
        <v>19440000</v>
      </c>
      <c r="W87" s="1860" t="s">
        <v>816</v>
      </c>
      <c r="X87" s="1860" t="s">
        <v>1647</v>
      </c>
      <c r="Y87" s="2693"/>
      <c r="Z87" s="2650"/>
      <c r="AA87" s="2648"/>
      <c r="AB87" s="2648"/>
      <c r="AC87" s="2648"/>
      <c r="AD87" s="2648"/>
      <c r="AE87" s="2648"/>
      <c r="AF87" s="2648"/>
      <c r="AG87" s="2648"/>
      <c r="AH87" s="2693"/>
      <c r="AI87" s="2648"/>
      <c r="AJ87" s="2648"/>
      <c r="AK87" s="2648"/>
      <c r="AL87" s="2648"/>
      <c r="AM87" s="2648"/>
      <c r="AN87" s="2648"/>
      <c r="AO87" s="2628"/>
      <c r="AP87" s="2628"/>
      <c r="AQ87" s="2629"/>
    </row>
    <row r="88" spans="1:43" ht="79.5" customHeight="1" x14ac:dyDescent="0.2">
      <c r="A88" s="1773"/>
      <c r="D88" s="1775"/>
      <c r="E88" s="2683"/>
      <c r="F88" s="2683"/>
      <c r="G88" s="2684"/>
      <c r="H88" s="2683"/>
      <c r="I88" s="2683"/>
      <c r="J88" s="2685"/>
      <c r="K88" s="2687"/>
      <c r="L88" s="2687"/>
      <c r="M88" s="2685"/>
      <c r="N88" s="2685"/>
      <c r="O88" s="2685"/>
      <c r="P88" s="2687"/>
      <c r="Q88" s="2705"/>
      <c r="R88" s="2707"/>
      <c r="S88" s="2701"/>
      <c r="T88" s="2704"/>
      <c r="U88" s="1880" t="s">
        <v>1685</v>
      </c>
      <c r="V88" s="1881">
        <f>0+7296333.33</f>
        <v>7296333.3300000001</v>
      </c>
      <c r="W88" s="1860">
        <v>88</v>
      </c>
      <c r="X88" s="1805" t="s">
        <v>1670</v>
      </c>
      <c r="Y88" s="2693"/>
      <c r="Z88" s="2650"/>
      <c r="AA88" s="2648"/>
      <c r="AB88" s="2648"/>
      <c r="AC88" s="2648"/>
      <c r="AD88" s="2648"/>
      <c r="AE88" s="2648"/>
      <c r="AF88" s="2648"/>
      <c r="AG88" s="2648"/>
      <c r="AH88" s="2693"/>
      <c r="AI88" s="2648"/>
      <c r="AJ88" s="2648"/>
      <c r="AK88" s="2648"/>
      <c r="AL88" s="2648"/>
      <c r="AM88" s="2648"/>
      <c r="AN88" s="2648"/>
      <c r="AO88" s="2628"/>
      <c r="AP88" s="2628"/>
      <c r="AQ88" s="2629"/>
    </row>
    <row r="89" spans="1:43" ht="191.25" customHeight="1" x14ac:dyDescent="0.2">
      <c r="A89" s="1773"/>
      <c r="D89" s="1775"/>
      <c r="E89" s="2683"/>
      <c r="F89" s="2683"/>
      <c r="G89" s="2684"/>
      <c r="H89" s="2683"/>
      <c r="I89" s="2683"/>
      <c r="J89" s="2686"/>
      <c r="K89" s="2688"/>
      <c r="L89" s="2688"/>
      <c r="M89" s="2686"/>
      <c r="N89" s="2686"/>
      <c r="O89" s="2686"/>
      <c r="P89" s="2688"/>
      <c r="Q89" s="2706"/>
      <c r="R89" s="2708"/>
      <c r="S89" s="2701"/>
      <c r="T89" s="1777" t="s">
        <v>1686</v>
      </c>
      <c r="U89" s="1882" t="s">
        <v>1687</v>
      </c>
      <c r="V89" s="1883">
        <f>0+5015000.04</f>
        <v>5015000.04</v>
      </c>
      <c r="W89" s="1884">
        <v>88</v>
      </c>
      <c r="X89" s="1805" t="s">
        <v>1670</v>
      </c>
      <c r="Y89" s="2693"/>
      <c r="Z89" s="2650"/>
      <c r="AA89" s="2648"/>
      <c r="AB89" s="2648"/>
      <c r="AC89" s="2648"/>
      <c r="AD89" s="2648"/>
      <c r="AE89" s="2648"/>
      <c r="AF89" s="2648"/>
      <c r="AG89" s="2648"/>
      <c r="AH89" s="2693"/>
      <c r="AI89" s="2648"/>
      <c r="AJ89" s="2648"/>
      <c r="AK89" s="2648"/>
      <c r="AL89" s="2648"/>
      <c r="AM89" s="2648"/>
      <c r="AN89" s="2648"/>
      <c r="AO89" s="2628"/>
      <c r="AP89" s="2628"/>
      <c r="AQ89" s="2629"/>
    </row>
    <row r="90" spans="1:43" ht="43.5" customHeight="1" x14ac:dyDescent="0.2">
      <c r="A90" s="1773"/>
      <c r="D90" s="1775"/>
      <c r="E90" s="1774"/>
      <c r="F90" s="1774"/>
      <c r="G90" s="1775"/>
      <c r="H90" s="1774"/>
      <c r="I90" s="1774"/>
      <c r="J90" s="2695">
        <v>264</v>
      </c>
      <c r="K90" s="2697" t="s">
        <v>1688</v>
      </c>
      <c r="L90" s="2697" t="s">
        <v>1689</v>
      </c>
      <c r="M90" s="2695">
        <v>1</v>
      </c>
      <c r="N90" s="2699" t="s">
        <v>1690</v>
      </c>
      <c r="O90" s="2695" t="s">
        <v>1691</v>
      </c>
      <c r="P90" s="2697" t="s">
        <v>1692</v>
      </c>
      <c r="Q90" s="2711">
        <v>1</v>
      </c>
      <c r="R90" s="2713">
        <f>SUM(V90:V95)</f>
        <v>100000000</v>
      </c>
      <c r="S90" s="2701" t="s">
        <v>1693</v>
      </c>
      <c r="T90" s="2623" t="s">
        <v>1694</v>
      </c>
      <c r="U90" s="2715" t="s">
        <v>1695</v>
      </c>
      <c r="V90" s="1885">
        <v>10000000</v>
      </c>
      <c r="W90" s="1860">
        <v>20</v>
      </c>
      <c r="X90" s="1886" t="s">
        <v>1647</v>
      </c>
      <c r="Y90" s="2709">
        <v>294321</v>
      </c>
      <c r="Z90" s="2710">
        <v>283947</v>
      </c>
      <c r="AA90" s="2694">
        <v>135754</v>
      </c>
      <c r="AB90" s="2694">
        <v>44640</v>
      </c>
      <c r="AC90" s="2694">
        <v>308178</v>
      </c>
      <c r="AD90" s="2694">
        <v>89696</v>
      </c>
      <c r="AE90" s="2694">
        <v>2145</v>
      </c>
      <c r="AF90" s="2694">
        <v>12718</v>
      </c>
      <c r="AG90" s="2694">
        <v>26</v>
      </c>
      <c r="AH90" s="2648">
        <v>37</v>
      </c>
      <c r="AI90" s="2648"/>
      <c r="AJ90" s="2648"/>
      <c r="AK90" s="2648">
        <v>54612</v>
      </c>
      <c r="AL90" s="2648">
        <v>16982</v>
      </c>
      <c r="AM90" s="2648">
        <v>1010</v>
      </c>
      <c r="AN90" s="2648">
        <f>+Y90+Z90</f>
        <v>578268</v>
      </c>
      <c r="AO90" s="2628">
        <v>43102</v>
      </c>
      <c r="AP90" s="2628">
        <v>43465</v>
      </c>
      <c r="AQ90" s="2629" t="s">
        <v>1567</v>
      </c>
    </row>
    <row r="91" spans="1:43" ht="36.75" customHeight="1" x14ac:dyDescent="0.2">
      <c r="A91" s="1773"/>
      <c r="D91" s="1775"/>
      <c r="E91" s="1774"/>
      <c r="F91" s="1774"/>
      <c r="G91" s="1775"/>
      <c r="H91" s="1774"/>
      <c r="I91" s="1774"/>
      <c r="J91" s="2695"/>
      <c r="K91" s="2697"/>
      <c r="L91" s="2697"/>
      <c r="M91" s="2695"/>
      <c r="N91" s="2699"/>
      <c r="O91" s="2695"/>
      <c r="P91" s="2697"/>
      <c r="Q91" s="2711"/>
      <c r="R91" s="2713"/>
      <c r="S91" s="2701"/>
      <c r="T91" s="2623"/>
      <c r="U91" s="2716"/>
      <c r="V91" s="1885">
        <f>0+15000000</f>
        <v>15000000</v>
      </c>
      <c r="W91" s="1860">
        <v>88</v>
      </c>
      <c r="X91" s="1886" t="s">
        <v>358</v>
      </c>
      <c r="Y91" s="2709"/>
      <c r="Z91" s="2710"/>
      <c r="AA91" s="2694"/>
      <c r="AB91" s="2694"/>
      <c r="AC91" s="2694"/>
      <c r="AD91" s="2694"/>
      <c r="AE91" s="2694"/>
      <c r="AF91" s="2694"/>
      <c r="AG91" s="2694"/>
      <c r="AH91" s="2648"/>
      <c r="AI91" s="2648"/>
      <c r="AJ91" s="2648"/>
      <c r="AK91" s="2648"/>
      <c r="AL91" s="2648"/>
      <c r="AM91" s="2648"/>
      <c r="AN91" s="2648"/>
      <c r="AO91" s="2628"/>
      <c r="AP91" s="2628"/>
      <c r="AQ91" s="2629"/>
    </row>
    <row r="92" spans="1:43" ht="37.5" customHeight="1" x14ac:dyDescent="0.2">
      <c r="A92" s="1773"/>
      <c r="D92" s="1775"/>
      <c r="E92" s="1774"/>
      <c r="F92" s="1774"/>
      <c r="G92" s="1775"/>
      <c r="H92" s="1774"/>
      <c r="I92" s="1774"/>
      <c r="J92" s="2695"/>
      <c r="K92" s="2697"/>
      <c r="L92" s="2697"/>
      <c r="M92" s="2695"/>
      <c r="N92" s="2699"/>
      <c r="O92" s="2695"/>
      <c r="P92" s="2697"/>
      <c r="Q92" s="2711"/>
      <c r="R92" s="2713"/>
      <c r="S92" s="2701"/>
      <c r="T92" s="2623"/>
      <c r="U92" s="2719" t="s">
        <v>1696</v>
      </c>
      <c r="V92" s="1885">
        <v>10000000</v>
      </c>
      <c r="W92" s="1860">
        <v>20</v>
      </c>
      <c r="X92" s="1886" t="s">
        <v>1647</v>
      </c>
      <c r="Y92" s="2693"/>
      <c r="Z92" s="2650"/>
      <c r="AA92" s="2648"/>
      <c r="AB92" s="2648"/>
      <c r="AC92" s="2648"/>
      <c r="AD92" s="2648"/>
      <c r="AE92" s="2648"/>
      <c r="AF92" s="2648"/>
      <c r="AG92" s="2648"/>
      <c r="AH92" s="2648"/>
      <c r="AI92" s="2648"/>
      <c r="AJ92" s="2648"/>
      <c r="AK92" s="2648"/>
      <c r="AL92" s="2648"/>
      <c r="AM92" s="2648"/>
      <c r="AN92" s="2648"/>
      <c r="AO92" s="2628"/>
      <c r="AP92" s="2628"/>
      <c r="AQ92" s="2629"/>
    </row>
    <row r="93" spans="1:43" ht="37.5" customHeight="1" x14ac:dyDescent="0.2">
      <c r="A93" s="1773"/>
      <c r="D93" s="1775"/>
      <c r="E93" s="1774"/>
      <c r="F93" s="1774"/>
      <c r="G93" s="1775"/>
      <c r="H93" s="1774"/>
      <c r="I93" s="1774"/>
      <c r="J93" s="2695"/>
      <c r="K93" s="2697"/>
      <c r="L93" s="2697"/>
      <c r="M93" s="2695"/>
      <c r="N93" s="2699"/>
      <c r="O93" s="2695"/>
      <c r="P93" s="2697"/>
      <c r="Q93" s="2711"/>
      <c r="R93" s="2713"/>
      <c r="S93" s="2701"/>
      <c r="T93" s="2623"/>
      <c r="U93" s="2720"/>
      <c r="V93" s="1885">
        <f>0+15000000</f>
        <v>15000000</v>
      </c>
      <c r="W93" s="1860">
        <v>88</v>
      </c>
      <c r="X93" s="1886" t="s">
        <v>358</v>
      </c>
      <c r="Y93" s="2693"/>
      <c r="Z93" s="2650"/>
      <c r="AA93" s="2648"/>
      <c r="AB93" s="2648"/>
      <c r="AC93" s="2648"/>
      <c r="AD93" s="2648"/>
      <c r="AE93" s="2648"/>
      <c r="AF93" s="2648"/>
      <c r="AG93" s="2648"/>
      <c r="AH93" s="2648"/>
      <c r="AI93" s="2648"/>
      <c r="AJ93" s="2648"/>
      <c r="AK93" s="2648"/>
      <c r="AL93" s="2648"/>
      <c r="AM93" s="2648"/>
      <c r="AN93" s="2648"/>
      <c r="AO93" s="2628"/>
      <c r="AP93" s="2628"/>
      <c r="AQ93" s="2629"/>
    </row>
    <row r="94" spans="1:43" ht="45.75" customHeight="1" x14ac:dyDescent="0.2">
      <c r="A94" s="1773"/>
      <c r="D94" s="1775"/>
      <c r="E94" s="1774"/>
      <c r="F94" s="1774"/>
      <c r="G94" s="1775"/>
      <c r="H94" s="1774"/>
      <c r="I94" s="1774"/>
      <c r="J94" s="2695"/>
      <c r="K94" s="2697"/>
      <c r="L94" s="2697"/>
      <c r="M94" s="2695"/>
      <c r="N94" s="2699"/>
      <c r="O94" s="2695"/>
      <c r="P94" s="2697"/>
      <c r="Q94" s="2711"/>
      <c r="R94" s="2713"/>
      <c r="S94" s="2701"/>
      <c r="T94" s="2623"/>
      <c r="U94" s="2721" t="s">
        <v>1697</v>
      </c>
      <c r="V94" s="1885">
        <v>30000000</v>
      </c>
      <c r="W94" s="1860">
        <v>20</v>
      </c>
      <c r="X94" s="1886" t="s">
        <v>1647</v>
      </c>
      <c r="Y94" s="2693"/>
      <c r="Z94" s="2650"/>
      <c r="AA94" s="2648"/>
      <c r="AB94" s="2648"/>
      <c r="AC94" s="2648"/>
      <c r="AD94" s="2648"/>
      <c r="AE94" s="2648"/>
      <c r="AF94" s="2648"/>
      <c r="AG94" s="2648"/>
      <c r="AH94" s="2648"/>
      <c r="AI94" s="2648"/>
      <c r="AJ94" s="2648"/>
      <c r="AK94" s="2648"/>
      <c r="AL94" s="2648"/>
      <c r="AM94" s="2648"/>
      <c r="AN94" s="2648"/>
      <c r="AO94" s="2628"/>
      <c r="AP94" s="2628"/>
      <c r="AQ94" s="2629"/>
    </row>
    <row r="95" spans="1:43" ht="44.25" customHeight="1" x14ac:dyDescent="0.2">
      <c r="A95" s="1773"/>
      <c r="D95" s="1775"/>
      <c r="E95" s="1774"/>
      <c r="F95" s="1774"/>
      <c r="G95" s="1775"/>
      <c r="H95" s="1774"/>
      <c r="I95" s="1774"/>
      <c r="J95" s="2696"/>
      <c r="K95" s="2698"/>
      <c r="L95" s="2698"/>
      <c r="M95" s="2696"/>
      <c r="N95" s="2700"/>
      <c r="O95" s="2696"/>
      <c r="P95" s="2698"/>
      <c r="Q95" s="2712"/>
      <c r="R95" s="2714"/>
      <c r="S95" s="2701"/>
      <c r="T95" s="2623"/>
      <c r="U95" s="2716"/>
      <c r="V95" s="1867">
        <f>0+20000000</f>
        <v>20000000</v>
      </c>
      <c r="W95" s="1860">
        <v>88</v>
      </c>
      <c r="X95" s="1886" t="s">
        <v>358</v>
      </c>
      <c r="Y95" s="2693"/>
      <c r="Z95" s="2650"/>
      <c r="AA95" s="2648"/>
      <c r="AB95" s="2648"/>
      <c r="AC95" s="2648"/>
      <c r="AD95" s="2648"/>
      <c r="AE95" s="2648"/>
      <c r="AF95" s="2648"/>
      <c r="AG95" s="2648"/>
      <c r="AH95" s="2648"/>
      <c r="AI95" s="2648"/>
      <c r="AJ95" s="2648"/>
      <c r="AK95" s="2648"/>
      <c r="AL95" s="2648"/>
      <c r="AM95" s="2648"/>
      <c r="AN95" s="2648"/>
      <c r="AO95" s="2628"/>
      <c r="AP95" s="2628"/>
      <c r="AQ95" s="2629"/>
    </row>
    <row r="96" spans="1:43" ht="69" customHeight="1" x14ac:dyDescent="0.2">
      <c r="A96" s="2722"/>
      <c r="B96" s="2723"/>
      <c r="C96" s="2723"/>
      <c r="D96" s="2724"/>
      <c r="E96" s="2723"/>
      <c r="F96" s="2723"/>
      <c r="G96" s="2724"/>
      <c r="H96" s="2725"/>
      <c r="I96" s="2725"/>
      <c r="J96" s="2726">
        <v>265</v>
      </c>
      <c r="K96" s="2754" t="s">
        <v>1698</v>
      </c>
      <c r="L96" s="2623" t="s">
        <v>1699</v>
      </c>
      <c r="M96" s="2648">
        <v>1</v>
      </c>
      <c r="N96" s="2717" t="s">
        <v>1700</v>
      </c>
      <c r="O96" s="2685" t="s">
        <v>1701</v>
      </c>
      <c r="P96" s="2718" t="s">
        <v>1702</v>
      </c>
      <c r="Q96" s="2749">
        <v>1</v>
      </c>
      <c r="R96" s="2750">
        <f>SUM(V96:V114)</f>
        <v>475000000</v>
      </c>
      <c r="S96" s="2701" t="s">
        <v>1703</v>
      </c>
      <c r="T96" s="2623" t="s">
        <v>1704</v>
      </c>
      <c r="U96" s="1032" t="s">
        <v>1705</v>
      </c>
      <c r="V96" s="1871">
        <v>18000000</v>
      </c>
      <c r="W96" s="1872" t="s">
        <v>816</v>
      </c>
      <c r="X96" s="1878" t="s">
        <v>360</v>
      </c>
      <c r="Y96" s="2727">
        <v>294321</v>
      </c>
      <c r="Z96" s="2666">
        <v>283947</v>
      </c>
      <c r="AA96" s="2727">
        <v>135754</v>
      </c>
      <c r="AB96" s="2727">
        <v>44640</v>
      </c>
      <c r="AC96" s="2727">
        <v>308178</v>
      </c>
      <c r="AD96" s="2727">
        <v>89696</v>
      </c>
      <c r="AE96" s="2727">
        <v>2145</v>
      </c>
      <c r="AF96" s="2727">
        <v>12718</v>
      </c>
      <c r="AG96" s="2727">
        <v>26</v>
      </c>
      <c r="AH96" s="2727">
        <v>37</v>
      </c>
      <c r="AI96" s="2727"/>
      <c r="AJ96" s="2727"/>
      <c r="AK96" s="2727">
        <v>54612</v>
      </c>
      <c r="AL96" s="2727">
        <v>16982</v>
      </c>
      <c r="AM96" s="2727">
        <v>1010</v>
      </c>
      <c r="AN96" s="2727">
        <f>+Y96+Z96</f>
        <v>578268</v>
      </c>
      <c r="AO96" s="2628">
        <v>43102</v>
      </c>
      <c r="AP96" s="2628">
        <v>43465</v>
      </c>
      <c r="AQ96" s="2629" t="s">
        <v>1681</v>
      </c>
    </row>
    <row r="97" spans="1:43" ht="104.25" customHeight="1" x14ac:dyDescent="0.2">
      <c r="A97" s="2722"/>
      <c r="B97" s="2723"/>
      <c r="C97" s="2723"/>
      <c r="D97" s="2724"/>
      <c r="E97" s="2723"/>
      <c r="F97" s="2723"/>
      <c r="G97" s="2724"/>
      <c r="H97" s="2725"/>
      <c r="I97" s="2725"/>
      <c r="J97" s="2726"/>
      <c r="K97" s="2754"/>
      <c r="L97" s="2623"/>
      <c r="M97" s="2648"/>
      <c r="N97" s="2717"/>
      <c r="O97" s="2685"/>
      <c r="P97" s="2718"/>
      <c r="Q97" s="2749"/>
      <c r="R97" s="2750"/>
      <c r="S97" s="2701"/>
      <c r="T97" s="2623"/>
      <c r="U97" s="1032" t="s">
        <v>1706</v>
      </c>
      <c r="V97" s="1779">
        <v>55440000</v>
      </c>
      <c r="W97" s="1805">
        <v>20</v>
      </c>
      <c r="X97" s="1781" t="s">
        <v>360</v>
      </c>
      <c r="Y97" s="2728"/>
      <c r="Z97" s="2667"/>
      <c r="AA97" s="2728"/>
      <c r="AB97" s="2728"/>
      <c r="AC97" s="2728"/>
      <c r="AD97" s="2728"/>
      <c r="AE97" s="2728"/>
      <c r="AF97" s="2728"/>
      <c r="AG97" s="2728"/>
      <c r="AH97" s="2728"/>
      <c r="AI97" s="2728"/>
      <c r="AJ97" s="2728"/>
      <c r="AK97" s="2728"/>
      <c r="AL97" s="2728"/>
      <c r="AM97" s="2728"/>
      <c r="AN97" s="2728"/>
      <c r="AO97" s="2628"/>
      <c r="AP97" s="2628"/>
      <c r="AQ97" s="2629"/>
    </row>
    <row r="98" spans="1:43" ht="62.25" customHeight="1" x14ac:dyDescent="0.2">
      <c r="A98" s="2722"/>
      <c r="B98" s="2723"/>
      <c r="C98" s="2723"/>
      <c r="D98" s="2724"/>
      <c r="E98" s="2723"/>
      <c r="F98" s="2723"/>
      <c r="G98" s="2724"/>
      <c r="H98" s="2725"/>
      <c r="I98" s="2725"/>
      <c r="J98" s="2726"/>
      <c r="K98" s="2754"/>
      <c r="L98" s="2623"/>
      <c r="M98" s="2648"/>
      <c r="N98" s="2717"/>
      <c r="O98" s="2685"/>
      <c r="P98" s="2718"/>
      <c r="Q98" s="2749"/>
      <c r="R98" s="2750"/>
      <c r="S98" s="2701"/>
      <c r="T98" s="2623"/>
      <c r="U98" s="1025" t="s">
        <v>1707</v>
      </c>
      <c r="V98" s="1779">
        <v>92400000</v>
      </c>
      <c r="W98" s="1805">
        <v>20</v>
      </c>
      <c r="X98" s="1781" t="s">
        <v>360</v>
      </c>
      <c r="Y98" s="2728"/>
      <c r="Z98" s="2667"/>
      <c r="AA98" s="2728"/>
      <c r="AB98" s="2728"/>
      <c r="AC98" s="2728"/>
      <c r="AD98" s="2728"/>
      <c r="AE98" s="2728"/>
      <c r="AF98" s="2728"/>
      <c r="AG98" s="2728"/>
      <c r="AH98" s="2728"/>
      <c r="AI98" s="2728"/>
      <c r="AJ98" s="2728"/>
      <c r="AK98" s="2728"/>
      <c r="AL98" s="2728"/>
      <c r="AM98" s="2728"/>
      <c r="AN98" s="2728"/>
      <c r="AO98" s="2628"/>
      <c r="AP98" s="2628"/>
      <c r="AQ98" s="2629"/>
    </row>
    <row r="99" spans="1:43" ht="48" customHeight="1" x14ac:dyDescent="0.2">
      <c r="A99" s="2722"/>
      <c r="B99" s="2723"/>
      <c r="C99" s="2723"/>
      <c r="D99" s="2724"/>
      <c r="E99" s="2723"/>
      <c r="F99" s="2723"/>
      <c r="G99" s="2724"/>
      <c r="H99" s="2725"/>
      <c r="I99" s="2725"/>
      <c r="J99" s="2726"/>
      <c r="K99" s="2754"/>
      <c r="L99" s="2623"/>
      <c r="M99" s="2648"/>
      <c r="N99" s="2717"/>
      <c r="O99" s="2685"/>
      <c r="P99" s="2718"/>
      <c r="Q99" s="2749"/>
      <c r="R99" s="2750"/>
      <c r="S99" s="2701"/>
      <c r="T99" s="2623"/>
      <c r="U99" s="2730" t="s">
        <v>1708</v>
      </c>
      <c r="V99" s="1779">
        <f>5760000+20170000</f>
        <v>25930000</v>
      </c>
      <c r="W99" s="1805">
        <v>20</v>
      </c>
      <c r="X99" s="1781" t="s">
        <v>62</v>
      </c>
      <c r="Y99" s="2728"/>
      <c r="Z99" s="2667"/>
      <c r="AA99" s="2728"/>
      <c r="AB99" s="2728"/>
      <c r="AC99" s="2728"/>
      <c r="AD99" s="2728"/>
      <c r="AE99" s="2728"/>
      <c r="AF99" s="2728"/>
      <c r="AG99" s="2728"/>
      <c r="AH99" s="2728"/>
      <c r="AI99" s="2728"/>
      <c r="AJ99" s="2728"/>
      <c r="AK99" s="2728"/>
      <c r="AL99" s="2728"/>
      <c r="AM99" s="2728"/>
      <c r="AN99" s="2728"/>
      <c r="AO99" s="2628"/>
      <c r="AP99" s="2628"/>
      <c r="AQ99" s="2629"/>
    </row>
    <row r="100" spans="1:43" ht="70.5" customHeight="1" x14ac:dyDescent="0.2">
      <c r="A100" s="2722"/>
      <c r="B100" s="2723"/>
      <c r="C100" s="2723"/>
      <c r="D100" s="2724"/>
      <c r="E100" s="2723"/>
      <c r="F100" s="2723"/>
      <c r="G100" s="2724"/>
      <c r="H100" s="2725"/>
      <c r="I100" s="2725"/>
      <c r="J100" s="2726"/>
      <c r="K100" s="2754"/>
      <c r="L100" s="2623"/>
      <c r="M100" s="2648"/>
      <c r="N100" s="2717"/>
      <c r="O100" s="2685"/>
      <c r="P100" s="2718"/>
      <c r="Q100" s="2749"/>
      <c r="R100" s="2750"/>
      <c r="S100" s="2701"/>
      <c r="T100" s="2623"/>
      <c r="U100" s="2731"/>
      <c r="V100" s="1779">
        <f>0+20000</f>
        <v>20000</v>
      </c>
      <c r="W100" s="1805">
        <v>88</v>
      </c>
      <c r="X100" s="1781" t="s">
        <v>358</v>
      </c>
      <c r="Y100" s="2728"/>
      <c r="Z100" s="2667"/>
      <c r="AA100" s="2728"/>
      <c r="AB100" s="2728"/>
      <c r="AC100" s="2728"/>
      <c r="AD100" s="2728"/>
      <c r="AE100" s="2728"/>
      <c r="AF100" s="2728"/>
      <c r="AG100" s="2728"/>
      <c r="AH100" s="2728"/>
      <c r="AI100" s="2728"/>
      <c r="AJ100" s="2728"/>
      <c r="AK100" s="2728"/>
      <c r="AL100" s="2728"/>
      <c r="AM100" s="2728"/>
      <c r="AN100" s="2728"/>
      <c r="AO100" s="2628"/>
      <c r="AP100" s="2628"/>
      <c r="AQ100" s="2629"/>
    </row>
    <row r="101" spans="1:43" ht="70.5" customHeight="1" x14ac:dyDescent="0.2">
      <c r="A101" s="2722"/>
      <c r="B101" s="2723"/>
      <c r="C101" s="2723"/>
      <c r="D101" s="2724"/>
      <c r="E101" s="2723"/>
      <c r="F101" s="2723"/>
      <c r="G101" s="2724"/>
      <c r="H101" s="2725"/>
      <c r="I101" s="2725"/>
      <c r="J101" s="2726"/>
      <c r="K101" s="2754"/>
      <c r="L101" s="2623"/>
      <c r="M101" s="2648"/>
      <c r="N101" s="2717"/>
      <c r="O101" s="2685"/>
      <c r="P101" s="2718"/>
      <c r="Q101" s="2749"/>
      <c r="R101" s="2750"/>
      <c r="S101" s="2701"/>
      <c r="T101" s="2623" t="s">
        <v>1709</v>
      </c>
      <c r="U101" s="1032" t="s">
        <v>1710</v>
      </c>
      <c r="V101" s="1779">
        <v>8500000</v>
      </c>
      <c r="W101" s="1805">
        <v>20</v>
      </c>
      <c r="X101" s="1121" t="s">
        <v>360</v>
      </c>
      <c r="Y101" s="2728"/>
      <c r="Z101" s="2667"/>
      <c r="AA101" s="2728"/>
      <c r="AB101" s="2728"/>
      <c r="AC101" s="2728"/>
      <c r="AD101" s="2728"/>
      <c r="AE101" s="2728"/>
      <c r="AF101" s="2728"/>
      <c r="AG101" s="2728"/>
      <c r="AH101" s="2728"/>
      <c r="AI101" s="2728"/>
      <c r="AJ101" s="2728"/>
      <c r="AK101" s="2728"/>
      <c r="AL101" s="2728"/>
      <c r="AM101" s="2728"/>
      <c r="AN101" s="2728"/>
      <c r="AO101" s="2628"/>
      <c r="AP101" s="2628"/>
      <c r="AQ101" s="2629"/>
    </row>
    <row r="102" spans="1:43" ht="70.5" customHeight="1" x14ac:dyDescent="0.2">
      <c r="A102" s="2722"/>
      <c r="B102" s="2723"/>
      <c r="C102" s="2723"/>
      <c r="D102" s="2724"/>
      <c r="E102" s="2723"/>
      <c r="F102" s="2723"/>
      <c r="G102" s="2724"/>
      <c r="H102" s="2725"/>
      <c r="I102" s="2725"/>
      <c r="J102" s="2726"/>
      <c r="K102" s="2754"/>
      <c r="L102" s="2623"/>
      <c r="M102" s="2648"/>
      <c r="N102" s="2717"/>
      <c r="O102" s="2685"/>
      <c r="P102" s="2718"/>
      <c r="Q102" s="2749"/>
      <c r="R102" s="2750"/>
      <c r="S102" s="2701"/>
      <c r="T102" s="2623"/>
      <c r="U102" s="1032" t="s">
        <v>1711</v>
      </c>
      <c r="V102" s="1779">
        <v>6500000</v>
      </c>
      <c r="W102" s="1805">
        <v>20</v>
      </c>
      <c r="X102" s="1121" t="s">
        <v>62</v>
      </c>
      <c r="Y102" s="2728"/>
      <c r="Z102" s="2667"/>
      <c r="AA102" s="2728"/>
      <c r="AB102" s="2728"/>
      <c r="AC102" s="2728"/>
      <c r="AD102" s="2728"/>
      <c r="AE102" s="2728"/>
      <c r="AF102" s="2728"/>
      <c r="AG102" s="2728"/>
      <c r="AH102" s="2728"/>
      <c r="AI102" s="2728"/>
      <c r="AJ102" s="2728"/>
      <c r="AK102" s="2728"/>
      <c r="AL102" s="2728"/>
      <c r="AM102" s="2728"/>
      <c r="AN102" s="2728"/>
      <c r="AO102" s="2628"/>
      <c r="AP102" s="2628"/>
      <c r="AQ102" s="2629"/>
    </row>
    <row r="103" spans="1:43" ht="70.5" customHeight="1" x14ac:dyDescent="0.2">
      <c r="A103" s="2722"/>
      <c r="B103" s="2723"/>
      <c r="C103" s="2723"/>
      <c r="D103" s="2724"/>
      <c r="E103" s="2723"/>
      <c r="F103" s="2723"/>
      <c r="G103" s="2724"/>
      <c r="H103" s="2725"/>
      <c r="I103" s="2725"/>
      <c r="J103" s="2726"/>
      <c r="K103" s="2754"/>
      <c r="L103" s="2623"/>
      <c r="M103" s="2648"/>
      <c r="N103" s="2717"/>
      <c r="O103" s="2685"/>
      <c r="P103" s="2718"/>
      <c r="Q103" s="2749"/>
      <c r="R103" s="2750"/>
      <c r="S103" s="2701"/>
      <c r="T103" s="2623"/>
      <c r="U103" s="1032" t="s">
        <v>1712</v>
      </c>
      <c r="V103" s="1779">
        <v>18000000</v>
      </c>
      <c r="W103" s="1805">
        <v>20</v>
      </c>
      <c r="X103" s="1121" t="s">
        <v>62</v>
      </c>
      <c r="Y103" s="2728"/>
      <c r="Z103" s="2667"/>
      <c r="AA103" s="2728"/>
      <c r="AB103" s="2728"/>
      <c r="AC103" s="2728"/>
      <c r="AD103" s="2728"/>
      <c r="AE103" s="2728"/>
      <c r="AF103" s="2728"/>
      <c r="AG103" s="2728"/>
      <c r="AH103" s="2728"/>
      <c r="AI103" s="2728"/>
      <c r="AJ103" s="2728"/>
      <c r="AK103" s="2728"/>
      <c r="AL103" s="2728"/>
      <c r="AM103" s="2728"/>
      <c r="AN103" s="2728"/>
      <c r="AO103" s="2628"/>
      <c r="AP103" s="2628"/>
      <c r="AQ103" s="2629"/>
    </row>
    <row r="104" spans="1:43" ht="66" customHeight="1" x14ac:dyDescent="0.2">
      <c r="A104" s="2722"/>
      <c r="B104" s="2723"/>
      <c r="C104" s="2723"/>
      <c r="D104" s="2724"/>
      <c r="E104" s="2723"/>
      <c r="F104" s="2723"/>
      <c r="G104" s="2724"/>
      <c r="H104" s="2725"/>
      <c r="I104" s="2725"/>
      <c r="J104" s="2726"/>
      <c r="K104" s="2754"/>
      <c r="L104" s="2623"/>
      <c r="M104" s="2648"/>
      <c r="N104" s="2717"/>
      <c r="O104" s="2685"/>
      <c r="P104" s="2718"/>
      <c r="Q104" s="2749"/>
      <c r="R104" s="2750"/>
      <c r="S104" s="2701"/>
      <c r="T104" s="2623" t="s">
        <v>1713</v>
      </c>
      <c r="U104" s="2730" t="s">
        <v>1714</v>
      </c>
      <c r="V104" s="1779">
        <v>76230000</v>
      </c>
      <c r="W104" s="1805" t="s">
        <v>816</v>
      </c>
      <c r="X104" s="1121" t="s">
        <v>62</v>
      </c>
      <c r="Y104" s="2728"/>
      <c r="Z104" s="2667"/>
      <c r="AA104" s="2728"/>
      <c r="AB104" s="2728"/>
      <c r="AC104" s="2728"/>
      <c r="AD104" s="2728"/>
      <c r="AE104" s="2728"/>
      <c r="AF104" s="2728"/>
      <c r="AG104" s="2728"/>
      <c r="AH104" s="2728"/>
      <c r="AI104" s="2728"/>
      <c r="AJ104" s="2728"/>
      <c r="AK104" s="2728"/>
      <c r="AL104" s="2728"/>
      <c r="AM104" s="2728"/>
      <c r="AN104" s="2728"/>
      <c r="AO104" s="2628"/>
      <c r="AP104" s="2628"/>
      <c r="AQ104" s="2629"/>
    </row>
    <row r="105" spans="1:43" ht="71.25" customHeight="1" x14ac:dyDescent="0.2">
      <c r="A105" s="2722"/>
      <c r="B105" s="2723"/>
      <c r="C105" s="2723"/>
      <c r="D105" s="2724"/>
      <c r="E105" s="2723"/>
      <c r="F105" s="2723"/>
      <c r="G105" s="2724"/>
      <c r="H105" s="2725"/>
      <c r="I105" s="2725"/>
      <c r="J105" s="2726"/>
      <c r="K105" s="2754"/>
      <c r="L105" s="2623"/>
      <c r="M105" s="2648"/>
      <c r="N105" s="2717"/>
      <c r="O105" s="2685"/>
      <c r="P105" s="2718"/>
      <c r="Q105" s="2749"/>
      <c r="R105" s="2750"/>
      <c r="S105" s="2701"/>
      <c r="T105" s="2623"/>
      <c r="U105" s="2731"/>
      <c r="V105" s="1779">
        <f>0+33880000</f>
        <v>33880000</v>
      </c>
      <c r="W105" s="1805">
        <v>88</v>
      </c>
      <c r="X105" s="1121" t="s">
        <v>1715</v>
      </c>
      <c r="Y105" s="2728"/>
      <c r="Z105" s="2667"/>
      <c r="AA105" s="2728"/>
      <c r="AB105" s="2728"/>
      <c r="AC105" s="2728"/>
      <c r="AD105" s="2728"/>
      <c r="AE105" s="2728"/>
      <c r="AF105" s="2728"/>
      <c r="AG105" s="2728"/>
      <c r="AH105" s="2728"/>
      <c r="AI105" s="2728"/>
      <c r="AJ105" s="2728"/>
      <c r="AK105" s="2728"/>
      <c r="AL105" s="2728"/>
      <c r="AM105" s="2728"/>
      <c r="AN105" s="2728"/>
      <c r="AO105" s="2628"/>
      <c r="AP105" s="2628"/>
      <c r="AQ105" s="2629"/>
    </row>
    <row r="106" spans="1:43" ht="42.75" customHeight="1" x14ac:dyDescent="0.2">
      <c r="A106" s="2722"/>
      <c r="B106" s="2723"/>
      <c r="C106" s="2723"/>
      <c r="D106" s="2724"/>
      <c r="E106" s="2723"/>
      <c r="F106" s="2723"/>
      <c r="G106" s="2724"/>
      <c r="H106" s="2725"/>
      <c r="I106" s="2725"/>
      <c r="J106" s="2726"/>
      <c r="K106" s="2754"/>
      <c r="L106" s="2623"/>
      <c r="M106" s="2648"/>
      <c r="N106" s="2717"/>
      <c r="O106" s="2685"/>
      <c r="P106" s="2718"/>
      <c r="Q106" s="2749"/>
      <c r="R106" s="2750"/>
      <c r="S106" s="2701"/>
      <c r="T106" s="2623"/>
      <c r="U106" s="2730" t="s">
        <v>1716</v>
      </c>
      <c r="V106" s="1858">
        <v>19800000</v>
      </c>
      <c r="W106" s="1805">
        <v>20</v>
      </c>
      <c r="X106" s="1887" t="s">
        <v>62</v>
      </c>
      <c r="Y106" s="2728"/>
      <c r="Z106" s="2667"/>
      <c r="AA106" s="2728"/>
      <c r="AB106" s="2728"/>
      <c r="AC106" s="2728"/>
      <c r="AD106" s="2728"/>
      <c r="AE106" s="2728"/>
      <c r="AF106" s="2728"/>
      <c r="AG106" s="2728"/>
      <c r="AH106" s="2728"/>
      <c r="AI106" s="2728"/>
      <c r="AJ106" s="2728"/>
      <c r="AK106" s="2728"/>
      <c r="AL106" s="2728"/>
      <c r="AM106" s="2728"/>
      <c r="AN106" s="2728"/>
      <c r="AO106" s="2628"/>
      <c r="AP106" s="2628"/>
      <c r="AQ106" s="2629"/>
    </row>
    <row r="107" spans="1:43" ht="42.75" customHeight="1" x14ac:dyDescent="0.2">
      <c r="A107" s="2722"/>
      <c r="B107" s="2723"/>
      <c r="C107" s="2723"/>
      <c r="D107" s="2724"/>
      <c r="E107" s="2723"/>
      <c r="F107" s="2723"/>
      <c r="G107" s="2724"/>
      <c r="H107" s="2725"/>
      <c r="I107" s="2725"/>
      <c r="J107" s="2726"/>
      <c r="K107" s="2754"/>
      <c r="L107" s="2623"/>
      <c r="M107" s="2648"/>
      <c r="N107" s="2717"/>
      <c r="O107" s="2685"/>
      <c r="P107" s="2718"/>
      <c r="Q107" s="2749"/>
      <c r="R107" s="2750"/>
      <c r="S107" s="2701"/>
      <c r="T107" s="2623"/>
      <c r="U107" s="2732"/>
      <c r="V107" s="1862">
        <f>0+5100000</f>
        <v>5100000</v>
      </c>
      <c r="W107" s="1805">
        <v>88</v>
      </c>
      <c r="X107" s="1887" t="s">
        <v>1715</v>
      </c>
      <c r="Y107" s="2735"/>
      <c r="Z107" s="2667"/>
      <c r="AA107" s="2728"/>
      <c r="AB107" s="2728"/>
      <c r="AC107" s="2728"/>
      <c r="AD107" s="2728"/>
      <c r="AE107" s="2728"/>
      <c r="AF107" s="2728"/>
      <c r="AG107" s="2728"/>
      <c r="AH107" s="2728"/>
      <c r="AI107" s="2728"/>
      <c r="AJ107" s="2728"/>
      <c r="AK107" s="2728"/>
      <c r="AL107" s="2728"/>
      <c r="AM107" s="2728"/>
      <c r="AN107" s="2728"/>
      <c r="AO107" s="2628"/>
      <c r="AP107" s="2628"/>
      <c r="AQ107" s="2629"/>
    </row>
    <row r="108" spans="1:43" ht="42" customHeight="1" x14ac:dyDescent="0.2">
      <c r="A108" s="2722"/>
      <c r="B108" s="2723"/>
      <c r="C108" s="2723"/>
      <c r="D108" s="2724"/>
      <c r="E108" s="2723"/>
      <c r="F108" s="2723"/>
      <c r="G108" s="2724"/>
      <c r="H108" s="2725"/>
      <c r="I108" s="2725"/>
      <c r="J108" s="2726"/>
      <c r="K108" s="2754"/>
      <c r="L108" s="2623"/>
      <c r="M108" s="2648"/>
      <c r="N108" s="2717"/>
      <c r="O108" s="2685"/>
      <c r="P108" s="2718"/>
      <c r="Q108" s="2749"/>
      <c r="R108" s="2750"/>
      <c r="S108" s="2701"/>
      <c r="T108" s="2623"/>
      <c r="U108" s="2733" t="s">
        <v>1717</v>
      </c>
      <c r="V108" s="1859">
        <v>72600000</v>
      </c>
      <c r="W108" s="1860">
        <v>20</v>
      </c>
      <c r="X108" s="1118" t="s">
        <v>62</v>
      </c>
      <c r="Y108" s="2735"/>
      <c r="Z108" s="2667"/>
      <c r="AA108" s="2728"/>
      <c r="AB108" s="2728"/>
      <c r="AC108" s="2728"/>
      <c r="AD108" s="2728"/>
      <c r="AE108" s="2728"/>
      <c r="AF108" s="2728"/>
      <c r="AG108" s="2728"/>
      <c r="AH108" s="2728"/>
      <c r="AI108" s="2728"/>
      <c r="AJ108" s="2728"/>
      <c r="AK108" s="2728"/>
      <c r="AL108" s="2728"/>
      <c r="AM108" s="2728"/>
      <c r="AN108" s="2728"/>
      <c r="AO108" s="2628"/>
      <c r="AP108" s="2628"/>
      <c r="AQ108" s="2629"/>
    </row>
    <row r="109" spans="1:43" ht="51.75" customHeight="1" x14ac:dyDescent="0.2">
      <c r="A109" s="2722"/>
      <c r="B109" s="2723"/>
      <c r="C109" s="2723"/>
      <c r="D109" s="2724"/>
      <c r="E109" s="2723"/>
      <c r="F109" s="2723"/>
      <c r="G109" s="2724"/>
      <c r="H109" s="2725"/>
      <c r="I109" s="2725"/>
      <c r="J109" s="2726"/>
      <c r="K109" s="2754"/>
      <c r="L109" s="2623"/>
      <c r="M109" s="2648"/>
      <c r="N109" s="2717"/>
      <c r="O109" s="2685"/>
      <c r="P109" s="2718"/>
      <c r="Q109" s="2749"/>
      <c r="R109" s="2750"/>
      <c r="S109" s="2701"/>
      <c r="T109" s="2623"/>
      <c r="U109" s="2731"/>
      <c r="V109" s="1871">
        <f>0+33900000</f>
        <v>33900000</v>
      </c>
      <c r="W109" s="1872">
        <v>88</v>
      </c>
      <c r="X109" s="1878" t="s">
        <v>358</v>
      </c>
      <c r="Y109" s="2728"/>
      <c r="Z109" s="2667"/>
      <c r="AA109" s="2728"/>
      <c r="AB109" s="2728"/>
      <c r="AC109" s="2728"/>
      <c r="AD109" s="2728"/>
      <c r="AE109" s="2728"/>
      <c r="AF109" s="2728"/>
      <c r="AG109" s="2728"/>
      <c r="AH109" s="2728"/>
      <c r="AI109" s="2728"/>
      <c r="AJ109" s="2728"/>
      <c r="AK109" s="2728"/>
      <c r="AL109" s="2728"/>
      <c r="AM109" s="2728"/>
      <c r="AN109" s="2728"/>
      <c r="AO109" s="2628"/>
      <c r="AP109" s="2628"/>
      <c r="AQ109" s="2629"/>
    </row>
    <row r="110" spans="1:43" ht="47.25" customHeight="1" x14ac:dyDescent="0.2">
      <c r="A110" s="2722"/>
      <c r="B110" s="2723"/>
      <c r="C110" s="2723"/>
      <c r="D110" s="2724"/>
      <c r="E110" s="2723"/>
      <c r="F110" s="2723"/>
      <c r="G110" s="2724"/>
      <c r="H110" s="2725"/>
      <c r="I110" s="2725"/>
      <c r="J110" s="2726"/>
      <c r="K110" s="2754"/>
      <c r="L110" s="2623"/>
      <c r="M110" s="2648"/>
      <c r="N110" s="2717"/>
      <c r="O110" s="2685"/>
      <c r="P110" s="2718"/>
      <c r="Q110" s="2749"/>
      <c r="R110" s="2750"/>
      <c r="S110" s="2701"/>
      <c r="T110" s="2623"/>
      <c r="U110" s="2730" t="s">
        <v>1718</v>
      </c>
      <c r="V110" s="1779">
        <v>2100000</v>
      </c>
      <c r="W110" s="1805" t="s">
        <v>61</v>
      </c>
      <c r="X110" s="1781" t="s">
        <v>62</v>
      </c>
      <c r="Y110" s="2728"/>
      <c r="Z110" s="2667"/>
      <c r="AA110" s="2728"/>
      <c r="AB110" s="2728"/>
      <c r="AC110" s="2728"/>
      <c r="AD110" s="2728"/>
      <c r="AE110" s="2728"/>
      <c r="AF110" s="2728"/>
      <c r="AG110" s="2728"/>
      <c r="AH110" s="2728"/>
      <c r="AI110" s="2728"/>
      <c r="AJ110" s="2728"/>
      <c r="AK110" s="2728"/>
      <c r="AL110" s="2728"/>
      <c r="AM110" s="2728"/>
      <c r="AN110" s="2728"/>
      <c r="AO110" s="2628"/>
      <c r="AP110" s="2628"/>
      <c r="AQ110" s="2629"/>
    </row>
    <row r="111" spans="1:43" ht="47.25" customHeight="1" x14ac:dyDescent="0.2">
      <c r="A111" s="2722"/>
      <c r="B111" s="2723"/>
      <c r="C111" s="2723"/>
      <c r="D111" s="2724"/>
      <c r="E111" s="2723"/>
      <c r="F111" s="2723"/>
      <c r="G111" s="2724"/>
      <c r="H111" s="2725"/>
      <c r="I111" s="2725"/>
      <c r="J111" s="2726"/>
      <c r="K111" s="2754"/>
      <c r="L111" s="2623"/>
      <c r="M111" s="2648"/>
      <c r="N111" s="2717"/>
      <c r="O111" s="2685"/>
      <c r="P111" s="2718"/>
      <c r="Q111" s="2749"/>
      <c r="R111" s="2750"/>
      <c r="S111" s="2701"/>
      <c r="T111" s="2623"/>
      <c r="U111" s="2734"/>
      <c r="V111" s="1858">
        <f>0+2100000</f>
        <v>2100000</v>
      </c>
      <c r="W111" s="1805">
        <v>88</v>
      </c>
      <c r="X111" s="1805" t="s">
        <v>1715</v>
      </c>
      <c r="Y111" s="2728"/>
      <c r="Z111" s="2667"/>
      <c r="AA111" s="2728"/>
      <c r="AB111" s="2728"/>
      <c r="AC111" s="2728"/>
      <c r="AD111" s="2728"/>
      <c r="AE111" s="2728"/>
      <c r="AF111" s="2728"/>
      <c r="AG111" s="2728"/>
      <c r="AH111" s="2728"/>
      <c r="AI111" s="2728"/>
      <c r="AJ111" s="2728"/>
      <c r="AK111" s="2728"/>
      <c r="AL111" s="2728"/>
      <c r="AM111" s="2728"/>
      <c r="AN111" s="2728"/>
      <c r="AO111" s="2628"/>
      <c r="AP111" s="2628"/>
      <c r="AQ111" s="2629"/>
    </row>
    <row r="112" spans="1:43" ht="66" customHeight="1" x14ac:dyDescent="0.2">
      <c r="A112" s="2722"/>
      <c r="B112" s="2723"/>
      <c r="C112" s="2723"/>
      <c r="D112" s="2724"/>
      <c r="E112" s="2723"/>
      <c r="F112" s="2723"/>
      <c r="G112" s="2724"/>
      <c r="H112" s="2725"/>
      <c r="I112" s="2725"/>
      <c r="J112" s="2726"/>
      <c r="K112" s="2754"/>
      <c r="L112" s="2623"/>
      <c r="M112" s="2648"/>
      <c r="N112" s="2717"/>
      <c r="O112" s="2685"/>
      <c r="P112" s="2718"/>
      <c r="Q112" s="2749"/>
      <c r="R112" s="2750"/>
      <c r="S112" s="2701"/>
      <c r="T112" s="2651"/>
      <c r="U112" s="2751" t="s">
        <v>1719</v>
      </c>
      <c r="V112" s="2752">
        <f>4500000-2250000</f>
        <v>2250000</v>
      </c>
      <c r="W112" s="2739" t="s">
        <v>816</v>
      </c>
      <c r="X112" s="2739" t="s">
        <v>360</v>
      </c>
      <c r="Y112" s="2735"/>
      <c r="Z112" s="2667"/>
      <c r="AA112" s="2728"/>
      <c r="AB112" s="2728"/>
      <c r="AC112" s="2728"/>
      <c r="AD112" s="2728"/>
      <c r="AE112" s="2728"/>
      <c r="AF112" s="2728"/>
      <c r="AG112" s="2728"/>
      <c r="AH112" s="2728"/>
      <c r="AI112" s="2728"/>
      <c r="AJ112" s="2728"/>
      <c r="AK112" s="2728"/>
      <c r="AL112" s="2728"/>
      <c r="AM112" s="2728"/>
      <c r="AN112" s="2728"/>
      <c r="AO112" s="2628"/>
      <c r="AP112" s="2628"/>
      <c r="AQ112" s="2629"/>
    </row>
    <row r="113" spans="1:43" ht="66" customHeight="1" x14ac:dyDescent="0.2">
      <c r="A113" s="2722"/>
      <c r="B113" s="2723"/>
      <c r="C113" s="2723"/>
      <c r="D113" s="2724"/>
      <c r="E113" s="2723"/>
      <c r="F113" s="2723"/>
      <c r="G113" s="2724"/>
      <c r="H113" s="2725"/>
      <c r="I113" s="2725"/>
      <c r="J113" s="2726"/>
      <c r="K113" s="2754"/>
      <c r="L113" s="2623"/>
      <c r="M113" s="2648"/>
      <c r="N113" s="2717"/>
      <c r="O113" s="2685"/>
      <c r="P113" s="2718"/>
      <c r="Q113" s="2749"/>
      <c r="R113" s="2750"/>
      <c r="S113" s="2701"/>
      <c r="T113" s="2651"/>
      <c r="U113" s="2751"/>
      <c r="V113" s="2753"/>
      <c r="W113" s="2740"/>
      <c r="X113" s="2740"/>
      <c r="Y113" s="2735"/>
      <c r="Z113" s="2667"/>
      <c r="AA113" s="2728"/>
      <c r="AB113" s="2728"/>
      <c r="AC113" s="2728"/>
      <c r="AD113" s="2728"/>
      <c r="AE113" s="2728"/>
      <c r="AF113" s="2728"/>
      <c r="AG113" s="2728"/>
      <c r="AH113" s="2728"/>
      <c r="AI113" s="2728"/>
      <c r="AJ113" s="2728"/>
      <c r="AK113" s="2728"/>
      <c r="AL113" s="2728"/>
      <c r="AM113" s="2728"/>
      <c r="AN113" s="2728"/>
      <c r="AO113" s="2628"/>
      <c r="AP113" s="2628"/>
      <c r="AQ113" s="2629"/>
    </row>
    <row r="114" spans="1:43" ht="76.5" customHeight="1" x14ac:dyDescent="0.2">
      <c r="A114" s="2722"/>
      <c r="B114" s="2723"/>
      <c r="C114" s="2723"/>
      <c r="D114" s="2724"/>
      <c r="E114" s="2723"/>
      <c r="F114" s="2723"/>
      <c r="G114" s="2724"/>
      <c r="H114" s="2725"/>
      <c r="I114" s="2725"/>
      <c r="J114" s="2726"/>
      <c r="K114" s="2754"/>
      <c r="L114" s="2623"/>
      <c r="M114" s="2648"/>
      <c r="N114" s="2717"/>
      <c r="O114" s="2685"/>
      <c r="P114" s="2718"/>
      <c r="Q114" s="2749"/>
      <c r="R114" s="2750"/>
      <c r="S114" s="2701"/>
      <c r="T114" s="2623"/>
      <c r="U114" s="1888" t="s">
        <v>1720</v>
      </c>
      <c r="V114" s="1889">
        <f>0+2250000</f>
        <v>2250000</v>
      </c>
      <c r="W114" s="1860">
        <v>20</v>
      </c>
      <c r="X114" s="1860" t="s">
        <v>1647</v>
      </c>
      <c r="Y114" s="2736"/>
      <c r="Z114" s="2668"/>
      <c r="AA114" s="2729"/>
      <c r="AB114" s="2729"/>
      <c r="AC114" s="2729"/>
      <c r="AD114" s="2729"/>
      <c r="AE114" s="2729"/>
      <c r="AF114" s="2729"/>
      <c r="AG114" s="2729"/>
      <c r="AH114" s="2729"/>
      <c r="AI114" s="2729"/>
      <c r="AJ114" s="2729"/>
      <c r="AK114" s="2729"/>
      <c r="AL114" s="2729"/>
      <c r="AM114" s="2729"/>
      <c r="AN114" s="2729"/>
      <c r="AO114" s="2628"/>
      <c r="AP114" s="2628"/>
      <c r="AQ114" s="2629"/>
    </row>
    <row r="115" spans="1:43" ht="81" customHeight="1" x14ac:dyDescent="0.2">
      <c r="A115" s="1800"/>
      <c r="D115" s="1801"/>
      <c r="G115" s="1801"/>
      <c r="J115" s="2674">
        <v>266</v>
      </c>
      <c r="K115" s="2741" t="s">
        <v>1721</v>
      </c>
      <c r="L115" s="2642" t="s">
        <v>1722</v>
      </c>
      <c r="M115" s="2648">
        <v>1</v>
      </c>
      <c r="N115" s="2743" t="s">
        <v>1723</v>
      </c>
      <c r="O115" s="2745" t="s">
        <v>1724</v>
      </c>
      <c r="P115" s="2746" t="s">
        <v>1725</v>
      </c>
      <c r="Q115" s="2748">
        <v>1</v>
      </c>
      <c r="R115" s="2765">
        <f>SUM(V115:V126)</f>
        <v>48000000</v>
      </c>
      <c r="S115" s="2623" t="s">
        <v>1726</v>
      </c>
      <c r="T115" s="2635" t="s">
        <v>1727</v>
      </c>
      <c r="U115" s="1890" t="s">
        <v>1728</v>
      </c>
      <c r="V115" s="1891">
        <v>4800000</v>
      </c>
      <c r="W115" s="1872" t="s">
        <v>816</v>
      </c>
      <c r="X115" s="1878" t="s">
        <v>1647</v>
      </c>
      <c r="Y115" s="2662">
        <v>282326</v>
      </c>
      <c r="Z115" s="2737">
        <v>292684</v>
      </c>
      <c r="AA115" s="2662">
        <v>135912</v>
      </c>
      <c r="AB115" s="2662">
        <v>45122</v>
      </c>
      <c r="AC115" s="2662">
        <v>307101</v>
      </c>
      <c r="AD115" s="2662">
        <v>86875</v>
      </c>
      <c r="AE115" s="2662">
        <v>2145</v>
      </c>
      <c r="AF115" s="2662">
        <v>12718</v>
      </c>
      <c r="AG115" s="2662">
        <v>26</v>
      </c>
      <c r="AH115" s="2662">
        <v>37</v>
      </c>
      <c r="AI115" s="2662"/>
      <c r="AJ115" s="2662"/>
      <c r="AK115" s="2662">
        <v>43029</v>
      </c>
      <c r="AL115" s="2755">
        <f>AL96</f>
        <v>16982</v>
      </c>
      <c r="AM115" s="2662">
        <v>60013</v>
      </c>
      <c r="AN115" s="2755">
        <f>Y115+Z115</f>
        <v>575010</v>
      </c>
      <c r="AO115" s="2628">
        <v>43102</v>
      </c>
      <c r="AP115" s="2628">
        <v>43465</v>
      </c>
      <c r="AQ115" s="2629" t="s">
        <v>1681</v>
      </c>
    </row>
    <row r="116" spans="1:43" ht="50.25" customHeight="1" x14ac:dyDescent="0.2">
      <c r="A116" s="1800"/>
      <c r="D116" s="1801"/>
      <c r="G116" s="1801"/>
      <c r="J116" s="2629"/>
      <c r="K116" s="2651"/>
      <c r="L116" s="2642"/>
      <c r="M116" s="2648"/>
      <c r="N116" s="2744"/>
      <c r="O116" s="2622"/>
      <c r="P116" s="2747"/>
      <c r="Q116" s="2640"/>
      <c r="R116" s="2766"/>
      <c r="S116" s="2623"/>
      <c r="T116" s="2636"/>
      <c r="U116" s="1890" t="s">
        <v>1729</v>
      </c>
      <c r="V116" s="1892">
        <v>2120000</v>
      </c>
      <c r="W116" s="1805">
        <v>20</v>
      </c>
      <c r="X116" s="1781" t="s">
        <v>1647</v>
      </c>
      <c r="Y116" s="2663"/>
      <c r="Z116" s="2738"/>
      <c r="AA116" s="2663"/>
      <c r="AB116" s="2663"/>
      <c r="AC116" s="2663"/>
      <c r="AD116" s="2663"/>
      <c r="AE116" s="2663"/>
      <c r="AF116" s="2663"/>
      <c r="AG116" s="2663"/>
      <c r="AH116" s="2663"/>
      <c r="AI116" s="2663"/>
      <c r="AJ116" s="2663"/>
      <c r="AK116" s="2663"/>
      <c r="AL116" s="2756"/>
      <c r="AM116" s="2663"/>
      <c r="AN116" s="2756"/>
      <c r="AO116" s="2628"/>
      <c r="AP116" s="2628"/>
      <c r="AQ116" s="2629"/>
    </row>
    <row r="117" spans="1:43" ht="50.25" customHeight="1" x14ac:dyDescent="0.2">
      <c r="A117" s="1800"/>
      <c r="D117" s="1801"/>
      <c r="G117" s="1801"/>
      <c r="J117" s="2629"/>
      <c r="K117" s="2651"/>
      <c r="L117" s="2642"/>
      <c r="M117" s="2648"/>
      <c r="N117" s="2744"/>
      <c r="O117" s="2622"/>
      <c r="P117" s="2747"/>
      <c r="Q117" s="2640"/>
      <c r="R117" s="2766"/>
      <c r="S117" s="2623"/>
      <c r="T117" s="2636"/>
      <c r="U117" s="1893" t="s">
        <v>1730</v>
      </c>
      <c r="V117" s="1892">
        <v>14250000</v>
      </c>
      <c r="W117" s="1805">
        <v>20</v>
      </c>
      <c r="X117" s="1781" t="s">
        <v>1647</v>
      </c>
      <c r="Y117" s="2663"/>
      <c r="Z117" s="2738"/>
      <c r="AA117" s="2663"/>
      <c r="AB117" s="2663"/>
      <c r="AC117" s="2663"/>
      <c r="AD117" s="2663"/>
      <c r="AE117" s="2663"/>
      <c r="AF117" s="2663"/>
      <c r="AG117" s="2663"/>
      <c r="AH117" s="2663"/>
      <c r="AI117" s="2663"/>
      <c r="AJ117" s="2663"/>
      <c r="AK117" s="2663"/>
      <c r="AL117" s="2756"/>
      <c r="AM117" s="2663"/>
      <c r="AN117" s="2756"/>
      <c r="AO117" s="2628"/>
      <c r="AP117" s="2628"/>
      <c r="AQ117" s="2629"/>
    </row>
    <row r="118" spans="1:43" ht="87.75" customHeight="1" x14ac:dyDescent="0.2">
      <c r="A118" s="1800"/>
      <c r="D118" s="1801"/>
      <c r="G118" s="1801"/>
      <c r="J118" s="2629"/>
      <c r="K118" s="2651"/>
      <c r="L118" s="2642"/>
      <c r="M118" s="2648"/>
      <c r="N118" s="2744"/>
      <c r="O118" s="2622"/>
      <c r="P118" s="2747"/>
      <c r="Q118" s="2640"/>
      <c r="R118" s="2766"/>
      <c r="S118" s="2623"/>
      <c r="T118" s="2636"/>
      <c r="U118" s="1890" t="s">
        <v>1731</v>
      </c>
      <c r="V118" s="1892">
        <v>2850000</v>
      </c>
      <c r="W118" s="1805" t="s">
        <v>816</v>
      </c>
      <c r="X118" s="1781" t="s">
        <v>1647</v>
      </c>
      <c r="Y118" s="2663"/>
      <c r="Z118" s="2738"/>
      <c r="AA118" s="2663"/>
      <c r="AB118" s="2663"/>
      <c r="AC118" s="2663"/>
      <c r="AD118" s="2663"/>
      <c r="AE118" s="2663"/>
      <c r="AF118" s="2663"/>
      <c r="AG118" s="2663"/>
      <c r="AH118" s="2663"/>
      <c r="AI118" s="2663"/>
      <c r="AJ118" s="2663"/>
      <c r="AK118" s="2663"/>
      <c r="AL118" s="2756"/>
      <c r="AM118" s="2663"/>
      <c r="AN118" s="2756"/>
      <c r="AO118" s="2628"/>
      <c r="AP118" s="2628"/>
      <c r="AQ118" s="2629"/>
    </row>
    <row r="119" spans="1:43" ht="50.25" customHeight="1" x14ac:dyDescent="0.2">
      <c r="A119" s="1800"/>
      <c r="D119" s="1801"/>
      <c r="G119" s="1801"/>
      <c r="J119" s="2629"/>
      <c r="K119" s="2651"/>
      <c r="L119" s="2642"/>
      <c r="M119" s="2648"/>
      <c r="N119" s="2744"/>
      <c r="O119" s="2622"/>
      <c r="P119" s="2747"/>
      <c r="Q119" s="2640"/>
      <c r="R119" s="2766"/>
      <c r="S119" s="2623"/>
      <c r="T119" s="2636"/>
      <c r="U119" s="1890" t="s">
        <v>1732</v>
      </c>
      <c r="V119" s="1892">
        <v>1200000</v>
      </c>
      <c r="W119" s="1805">
        <v>20</v>
      </c>
      <c r="X119" s="1781" t="s">
        <v>1647</v>
      </c>
      <c r="Y119" s="2663"/>
      <c r="Z119" s="2738"/>
      <c r="AA119" s="2663"/>
      <c r="AB119" s="2663"/>
      <c r="AC119" s="2663"/>
      <c r="AD119" s="2663"/>
      <c r="AE119" s="2663"/>
      <c r="AF119" s="2663"/>
      <c r="AG119" s="2663"/>
      <c r="AH119" s="2663"/>
      <c r="AI119" s="2663"/>
      <c r="AJ119" s="2663"/>
      <c r="AK119" s="2663"/>
      <c r="AL119" s="2756"/>
      <c r="AM119" s="2663"/>
      <c r="AN119" s="2756"/>
      <c r="AO119" s="2628"/>
      <c r="AP119" s="2628"/>
      <c r="AQ119" s="2629"/>
    </row>
    <row r="120" spans="1:43" ht="50.25" customHeight="1" x14ac:dyDescent="0.2">
      <c r="A120" s="1800"/>
      <c r="D120" s="1801"/>
      <c r="G120" s="1801"/>
      <c r="J120" s="2629"/>
      <c r="K120" s="2651"/>
      <c r="L120" s="2642"/>
      <c r="M120" s="2648"/>
      <c r="N120" s="2744"/>
      <c r="O120" s="2622"/>
      <c r="P120" s="2747"/>
      <c r="Q120" s="2640"/>
      <c r="R120" s="2766"/>
      <c r="S120" s="2623"/>
      <c r="T120" s="2636"/>
      <c r="U120" s="1890" t="s">
        <v>1733</v>
      </c>
      <c r="V120" s="1892">
        <v>1200000</v>
      </c>
      <c r="W120" s="1805">
        <v>20</v>
      </c>
      <c r="X120" s="1781" t="s">
        <v>1647</v>
      </c>
      <c r="Y120" s="2663"/>
      <c r="Z120" s="2738"/>
      <c r="AA120" s="2663"/>
      <c r="AB120" s="2663"/>
      <c r="AC120" s="2663"/>
      <c r="AD120" s="2663"/>
      <c r="AE120" s="2663"/>
      <c r="AF120" s="2663"/>
      <c r="AG120" s="2663"/>
      <c r="AH120" s="2663"/>
      <c r="AI120" s="2663"/>
      <c r="AJ120" s="2663"/>
      <c r="AK120" s="2663"/>
      <c r="AL120" s="2756"/>
      <c r="AM120" s="2663"/>
      <c r="AN120" s="2756"/>
      <c r="AO120" s="2628"/>
      <c r="AP120" s="2628"/>
      <c r="AQ120" s="2629"/>
    </row>
    <row r="121" spans="1:43" ht="50.25" customHeight="1" x14ac:dyDescent="0.2">
      <c r="A121" s="1800"/>
      <c r="D121" s="1801"/>
      <c r="G121" s="1801"/>
      <c r="J121" s="2629"/>
      <c r="K121" s="2651"/>
      <c r="L121" s="2642"/>
      <c r="M121" s="2648"/>
      <c r="N121" s="2744"/>
      <c r="O121" s="2622"/>
      <c r="P121" s="2747"/>
      <c r="Q121" s="2640"/>
      <c r="R121" s="2766"/>
      <c r="S121" s="2623"/>
      <c r="T121" s="2636"/>
      <c r="U121" s="1890" t="s">
        <v>1734</v>
      </c>
      <c r="V121" s="1892">
        <v>300000</v>
      </c>
      <c r="W121" s="1805">
        <v>20</v>
      </c>
      <c r="X121" s="1781" t="s">
        <v>1647</v>
      </c>
      <c r="Y121" s="2663"/>
      <c r="Z121" s="2738"/>
      <c r="AA121" s="2663"/>
      <c r="AB121" s="2663"/>
      <c r="AC121" s="2663"/>
      <c r="AD121" s="2663"/>
      <c r="AE121" s="2663"/>
      <c r="AF121" s="2663"/>
      <c r="AG121" s="2663"/>
      <c r="AH121" s="2663"/>
      <c r="AI121" s="2663"/>
      <c r="AJ121" s="2663"/>
      <c r="AK121" s="2663"/>
      <c r="AL121" s="2756"/>
      <c r="AM121" s="2663"/>
      <c r="AN121" s="2756"/>
      <c r="AO121" s="2628"/>
      <c r="AP121" s="2628"/>
      <c r="AQ121" s="2629"/>
    </row>
    <row r="122" spans="1:43" ht="50.25" customHeight="1" x14ac:dyDescent="0.2">
      <c r="A122" s="1800"/>
      <c r="D122" s="1801"/>
      <c r="G122" s="1801"/>
      <c r="J122" s="2629"/>
      <c r="K122" s="2651"/>
      <c r="L122" s="2642"/>
      <c r="M122" s="2648"/>
      <c r="N122" s="2744"/>
      <c r="O122" s="2622"/>
      <c r="P122" s="2747"/>
      <c r="Q122" s="2640"/>
      <c r="R122" s="2766"/>
      <c r="S122" s="2623"/>
      <c r="T122" s="2636"/>
      <c r="U122" s="1890" t="s">
        <v>1735</v>
      </c>
      <c r="V122" s="1892">
        <v>3760000</v>
      </c>
      <c r="W122" s="1805">
        <v>20</v>
      </c>
      <c r="X122" s="1781" t="s">
        <v>1647</v>
      </c>
      <c r="Y122" s="2663"/>
      <c r="Z122" s="2738"/>
      <c r="AA122" s="2663"/>
      <c r="AB122" s="2663"/>
      <c r="AC122" s="2663"/>
      <c r="AD122" s="2663"/>
      <c r="AE122" s="2663"/>
      <c r="AF122" s="2663"/>
      <c r="AG122" s="2663"/>
      <c r="AH122" s="2663"/>
      <c r="AI122" s="2663"/>
      <c r="AJ122" s="2663"/>
      <c r="AK122" s="2663"/>
      <c r="AL122" s="2756"/>
      <c r="AM122" s="2663"/>
      <c r="AN122" s="2756"/>
      <c r="AO122" s="2628"/>
      <c r="AP122" s="2628"/>
      <c r="AQ122" s="2629"/>
    </row>
    <row r="123" spans="1:43" ht="50.25" customHeight="1" x14ac:dyDescent="0.2">
      <c r="A123" s="1800"/>
      <c r="D123" s="1801"/>
      <c r="G123" s="1801"/>
      <c r="J123" s="2629"/>
      <c r="K123" s="2651"/>
      <c r="L123" s="2642"/>
      <c r="M123" s="2648"/>
      <c r="N123" s="2744"/>
      <c r="O123" s="2622"/>
      <c r="P123" s="2747"/>
      <c r="Q123" s="2640"/>
      <c r="R123" s="2766"/>
      <c r="S123" s="2623"/>
      <c r="T123" s="2636"/>
      <c r="U123" s="1890" t="s">
        <v>1736</v>
      </c>
      <c r="V123" s="1892">
        <v>3760000</v>
      </c>
      <c r="W123" s="1805">
        <v>20</v>
      </c>
      <c r="X123" s="1781" t="s">
        <v>1647</v>
      </c>
      <c r="Y123" s="2663"/>
      <c r="Z123" s="2738"/>
      <c r="AA123" s="2663"/>
      <c r="AB123" s="2663"/>
      <c r="AC123" s="2663"/>
      <c r="AD123" s="2663"/>
      <c r="AE123" s="2663"/>
      <c r="AF123" s="2663"/>
      <c r="AG123" s="2663"/>
      <c r="AH123" s="2663"/>
      <c r="AI123" s="2663"/>
      <c r="AJ123" s="2663"/>
      <c r="AK123" s="2663"/>
      <c r="AL123" s="2756"/>
      <c r="AM123" s="2663"/>
      <c r="AN123" s="2756"/>
      <c r="AO123" s="2628"/>
      <c r="AP123" s="2628"/>
      <c r="AQ123" s="2629"/>
    </row>
    <row r="124" spans="1:43" ht="50.25" customHeight="1" x14ac:dyDescent="0.2">
      <c r="A124" s="1800"/>
      <c r="D124" s="1801"/>
      <c r="G124" s="1801"/>
      <c r="J124" s="2629"/>
      <c r="K124" s="2651"/>
      <c r="L124" s="2642"/>
      <c r="M124" s="2648"/>
      <c r="N124" s="2744"/>
      <c r="O124" s="2622"/>
      <c r="P124" s="2747"/>
      <c r="Q124" s="2640"/>
      <c r="R124" s="2766"/>
      <c r="S124" s="2623"/>
      <c r="T124" s="2636"/>
      <c r="U124" s="1894" t="s">
        <v>1737</v>
      </c>
      <c r="V124" s="1895">
        <f>0+3500000</f>
        <v>3500000</v>
      </c>
      <c r="W124" s="1805">
        <v>88</v>
      </c>
      <c r="X124" s="1805" t="s">
        <v>358</v>
      </c>
      <c r="Y124" s="2663"/>
      <c r="Z124" s="2738"/>
      <c r="AA124" s="2663"/>
      <c r="AB124" s="2663"/>
      <c r="AC124" s="2663"/>
      <c r="AD124" s="2663"/>
      <c r="AE124" s="2663"/>
      <c r="AF124" s="2663"/>
      <c r="AG124" s="2663"/>
      <c r="AH124" s="2663"/>
      <c r="AI124" s="2663"/>
      <c r="AJ124" s="2663"/>
      <c r="AK124" s="2663"/>
      <c r="AL124" s="2756"/>
      <c r="AM124" s="2663"/>
      <c r="AN124" s="2756"/>
      <c r="AO124" s="2628"/>
      <c r="AP124" s="2628"/>
      <c r="AQ124" s="2629"/>
    </row>
    <row r="125" spans="1:43" ht="50.25" customHeight="1" x14ac:dyDescent="0.2">
      <c r="A125" s="1800"/>
      <c r="D125" s="1801"/>
      <c r="G125" s="1801"/>
      <c r="J125" s="2629"/>
      <c r="K125" s="2651"/>
      <c r="L125" s="2642"/>
      <c r="M125" s="2648"/>
      <c r="N125" s="2744"/>
      <c r="O125" s="2622"/>
      <c r="P125" s="2747"/>
      <c r="Q125" s="2640"/>
      <c r="R125" s="2766"/>
      <c r="S125" s="2623"/>
      <c r="T125" s="2637"/>
      <c r="U125" s="1894" t="s">
        <v>1738</v>
      </c>
      <c r="V125" s="1895">
        <f>0+6500000</f>
        <v>6500000</v>
      </c>
      <c r="W125" s="1805">
        <v>88</v>
      </c>
      <c r="X125" s="1805" t="s">
        <v>358</v>
      </c>
      <c r="Y125" s="2663"/>
      <c r="Z125" s="2738"/>
      <c r="AA125" s="2663"/>
      <c r="AB125" s="2663"/>
      <c r="AC125" s="2663"/>
      <c r="AD125" s="2663"/>
      <c r="AE125" s="2663"/>
      <c r="AF125" s="2663"/>
      <c r="AG125" s="2663"/>
      <c r="AH125" s="2663"/>
      <c r="AI125" s="2663"/>
      <c r="AJ125" s="2663"/>
      <c r="AK125" s="2663"/>
      <c r="AL125" s="2756"/>
      <c r="AM125" s="2663"/>
      <c r="AN125" s="2756"/>
      <c r="AO125" s="2628"/>
      <c r="AP125" s="2628"/>
      <c r="AQ125" s="2629"/>
    </row>
    <row r="126" spans="1:43" ht="104.25" customHeight="1" x14ac:dyDescent="0.2">
      <c r="A126" s="1800"/>
      <c r="D126" s="1801"/>
      <c r="G126" s="1801"/>
      <c r="J126" s="2672"/>
      <c r="K126" s="2742"/>
      <c r="L126" s="2642"/>
      <c r="M126" s="2648"/>
      <c r="N126" s="2744"/>
      <c r="O126" s="2622"/>
      <c r="P126" s="2747"/>
      <c r="Q126" s="2640"/>
      <c r="R126" s="2766"/>
      <c r="S126" s="2623"/>
      <c r="T126" s="1868" t="s">
        <v>1739</v>
      </c>
      <c r="U126" s="1896" t="s">
        <v>1740</v>
      </c>
      <c r="V126" s="1892">
        <v>3760000</v>
      </c>
      <c r="W126" s="1781" t="s">
        <v>816</v>
      </c>
      <c r="X126" s="1781" t="s">
        <v>1647</v>
      </c>
      <c r="Y126" s="2709"/>
      <c r="Z126" s="2710"/>
      <c r="AA126" s="2694"/>
      <c r="AB126" s="2694"/>
      <c r="AC126" s="2694"/>
      <c r="AD126" s="2694"/>
      <c r="AE126" s="2694"/>
      <c r="AF126" s="2694"/>
      <c r="AG126" s="2694"/>
      <c r="AH126" s="2694"/>
      <c r="AI126" s="2694"/>
      <c r="AJ126" s="2694"/>
      <c r="AK126" s="2694"/>
      <c r="AL126" s="2757"/>
      <c r="AM126" s="2694"/>
      <c r="AN126" s="2757"/>
      <c r="AO126" s="2628"/>
      <c r="AP126" s="2628"/>
      <c r="AQ126" s="2629"/>
    </row>
    <row r="127" spans="1:43" s="953" customFormat="1" ht="89.25" customHeight="1" x14ac:dyDescent="0.2">
      <c r="A127" s="1897"/>
      <c r="B127" s="1898"/>
      <c r="C127" s="1898"/>
      <c r="D127" s="1898"/>
      <c r="E127" s="1898"/>
      <c r="F127" s="1898"/>
      <c r="G127" s="1898"/>
      <c r="H127" s="1898"/>
      <c r="I127" s="1898"/>
      <c r="J127" s="2758">
        <v>267</v>
      </c>
      <c r="K127" s="2759" t="s">
        <v>1741</v>
      </c>
      <c r="L127" s="2760" t="s">
        <v>1742</v>
      </c>
      <c r="M127" s="2761">
        <v>1</v>
      </c>
      <c r="N127" s="2744" t="s">
        <v>1743</v>
      </c>
      <c r="O127" s="2763" t="s">
        <v>1744</v>
      </c>
      <c r="P127" s="2747" t="s">
        <v>1745</v>
      </c>
      <c r="Q127" s="2767">
        <f>SUM(V127+V128)/R127</f>
        <v>0.10732699054937611</v>
      </c>
      <c r="R127" s="2779">
        <f>SUM(V127:V147)</f>
        <v>232187634</v>
      </c>
      <c r="S127" s="2623" t="s">
        <v>1746</v>
      </c>
      <c r="T127" s="2781" t="s">
        <v>1747</v>
      </c>
      <c r="U127" s="2783" t="s">
        <v>1748</v>
      </c>
      <c r="V127" s="1779">
        <v>9500000</v>
      </c>
      <c r="W127" s="1781" t="s">
        <v>816</v>
      </c>
      <c r="X127" s="1781" t="s">
        <v>62</v>
      </c>
      <c r="Y127" s="2693">
        <v>294321</v>
      </c>
      <c r="Z127" s="2650">
        <v>283947</v>
      </c>
      <c r="AA127" s="2648">
        <v>135754</v>
      </c>
      <c r="AB127" s="2648">
        <v>44640</v>
      </c>
      <c r="AC127" s="2648">
        <v>308178</v>
      </c>
      <c r="AD127" s="2648">
        <v>89696</v>
      </c>
      <c r="AE127" s="2648">
        <v>2145</v>
      </c>
      <c r="AF127" s="2648">
        <v>12718</v>
      </c>
      <c r="AG127" s="2648">
        <v>26</v>
      </c>
      <c r="AH127" s="2648">
        <v>37</v>
      </c>
      <c r="AI127" s="2648"/>
      <c r="AJ127" s="2648"/>
      <c r="AK127" s="2648">
        <v>54612</v>
      </c>
      <c r="AL127" s="2648">
        <v>16982</v>
      </c>
      <c r="AM127" s="2662">
        <v>1010</v>
      </c>
      <c r="AN127" s="2648">
        <f>Y127+Z127</f>
        <v>578268</v>
      </c>
      <c r="AO127" s="2628">
        <v>43102</v>
      </c>
      <c r="AP127" s="2628">
        <v>43465</v>
      </c>
      <c r="AQ127" s="2629" t="s">
        <v>1681</v>
      </c>
    </row>
    <row r="128" spans="1:43" ht="50.25" customHeight="1" x14ac:dyDescent="0.2">
      <c r="J128" s="2758"/>
      <c r="K128" s="2759"/>
      <c r="L128" s="2760"/>
      <c r="M128" s="2761"/>
      <c r="N128" s="2744"/>
      <c r="O128" s="2763"/>
      <c r="P128" s="2747"/>
      <c r="Q128" s="2768"/>
      <c r="R128" s="2779"/>
      <c r="S128" s="2623"/>
      <c r="T128" s="2782"/>
      <c r="U128" s="2784"/>
      <c r="V128" s="1900">
        <f>0+15420000</f>
        <v>15420000</v>
      </c>
      <c r="W128" s="1872">
        <v>88</v>
      </c>
      <c r="X128" s="1872" t="s">
        <v>358</v>
      </c>
      <c r="Y128" s="2693"/>
      <c r="Z128" s="2650"/>
      <c r="AA128" s="2648"/>
      <c r="AB128" s="2648"/>
      <c r="AC128" s="2648"/>
      <c r="AD128" s="2648"/>
      <c r="AE128" s="2648"/>
      <c r="AF128" s="2648"/>
      <c r="AG128" s="2648"/>
      <c r="AH128" s="2648"/>
      <c r="AI128" s="2648"/>
      <c r="AJ128" s="2648"/>
      <c r="AK128" s="2648"/>
      <c r="AL128" s="2648"/>
      <c r="AM128" s="2663"/>
      <c r="AN128" s="2648"/>
      <c r="AO128" s="2628"/>
      <c r="AP128" s="2628"/>
      <c r="AQ128" s="2629"/>
    </row>
    <row r="129" spans="1:43" ht="50.25" customHeight="1" x14ac:dyDescent="0.2">
      <c r="A129" s="1800"/>
      <c r="D129" s="1801"/>
      <c r="G129" s="1801"/>
      <c r="I129" s="1901"/>
      <c r="J129" s="2771">
        <v>268</v>
      </c>
      <c r="K129" s="2772" t="s">
        <v>1749</v>
      </c>
      <c r="L129" s="2760" t="s">
        <v>1750</v>
      </c>
      <c r="M129" s="2761">
        <v>12</v>
      </c>
      <c r="N129" s="2744"/>
      <c r="O129" s="2763"/>
      <c r="P129" s="2747"/>
      <c r="Q129" s="2767">
        <f>(V129+V130+V131)/R127</f>
        <v>0.13075631753928807</v>
      </c>
      <c r="R129" s="2779"/>
      <c r="S129" s="2623"/>
      <c r="T129" s="2623" t="s">
        <v>1751</v>
      </c>
      <c r="U129" s="2774" t="s">
        <v>1752</v>
      </c>
      <c r="V129" s="1902">
        <v>19720000</v>
      </c>
      <c r="W129" s="1863" t="s">
        <v>61</v>
      </c>
      <c r="X129" s="1863" t="s">
        <v>62</v>
      </c>
      <c r="Y129" s="2693"/>
      <c r="Z129" s="2650"/>
      <c r="AA129" s="2648"/>
      <c r="AB129" s="2648"/>
      <c r="AC129" s="2648"/>
      <c r="AD129" s="2648"/>
      <c r="AE129" s="2648"/>
      <c r="AF129" s="2648"/>
      <c r="AG129" s="2648"/>
      <c r="AH129" s="2648"/>
      <c r="AI129" s="2648"/>
      <c r="AJ129" s="2648"/>
      <c r="AK129" s="2648"/>
      <c r="AL129" s="2648"/>
      <c r="AM129" s="2663"/>
      <c r="AN129" s="2648"/>
      <c r="AO129" s="2628"/>
      <c r="AP129" s="2628"/>
      <c r="AQ129" s="2629"/>
    </row>
    <row r="130" spans="1:43" ht="50.25" customHeight="1" x14ac:dyDescent="0.2">
      <c r="A130" s="1800"/>
      <c r="D130" s="1801"/>
      <c r="G130" s="1801"/>
      <c r="I130" s="1901"/>
      <c r="J130" s="2771"/>
      <c r="K130" s="2772"/>
      <c r="L130" s="2760"/>
      <c r="M130" s="2761"/>
      <c r="N130" s="2744"/>
      <c r="O130" s="2763"/>
      <c r="P130" s="2747"/>
      <c r="Q130" s="2773"/>
      <c r="R130" s="2779"/>
      <c r="S130" s="2623"/>
      <c r="T130" s="2623"/>
      <c r="U130" s="2775"/>
      <c r="V130" s="1859">
        <f>0+9860000</f>
        <v>9860000</v>
      </c>
      <c r="W130" s="1860">
        <v>88</v>
      </c>
      <c r="X130" s="1860" t="s">
        <v>358</v>
      </c>
      <c r="Y130" s="2693"/>
      <c r="Z130" s="2650"/>
      <c r="AA130" s="2648"/>
      <c r="AB130" s="2648"/>
      <c r="AC130" s="2648"/>
      <c r="AD130" s="2648"/>
      <c r="AE130" s="2648"/>
      <c r="AF130" s="2648"/>
      <c r="AG130" s="2648"/>
      <c r="AH130" s="2648"/>
      <c r="AI130" s="2648"/>
      <c r="AJ130" s="2648"/>
      <c r="AK130" s="2648"/>
      <c r="AL130" s="2648"/>
      <c r="AM130" s="2663"/>
      <c r="AN130" s="2648"/>
      <c r="AO130" s="2628"/>
      <c r="AP130" s="2628"/>
      <c r="AQ130" s="2629"/>
    </row>
    <row r="131" spans="1:43" ht="60.75" customHeight="1" x14ac:dyDescent="0.2">
      <c r="A131" s="1800"/>
      <c r="D131" s="1801"/>
      <c r="G131" s="1801"/>
      <c r="I131" s="1901"/>
      <c r="J131" s="2770"/>
      <c r="K131" s="2732"/>
      <c r="L131" s="2760"/>
      <c r="M131" s="2761"/>
      <c r="N131" s="2744"/>
      <c r="O131" s="2763"/>
      <c r="P131" s="2747"/>
      <c r="Q131" s="2768"/>
      <c r="R131" s="2779"/>
      <c r="S131" s="2623"/>
      <c r="T131" s="2623"/>
      <c r="U131" s="1903" t="s">
        <v>1753</v>
      </c>
      <c r="V131" s="1871">
        <v>780000</v>
      </c>
      <c r="W131" s="1878" t="s">
        <v>816</v>
      </c>
      <c r="X131" s="1878" t="s">
        <v>62</v>
      </c>
      <c r="Y131" s="2648"/>
      <c r="Z131" s="2650"/>
      <c r="AA131" s="2648"/>
      <c r="AB131" s="2648"/>
      <c r="AC131" s="2648"/>
      <c r="AD131" s="2648"/>
      <c r="AE131" s="2648"/>
      <c r="AF131" s="2648"/>
      <c r="AG131" s="2648"/>
      <c r="AH131" s="2648"/>
      <c r="AI131" s="2648"/>
      <c r="AJ131" s="2648"/>
      <c r="AK131" s="2648"/>
      <c r="AL131" s="2648"/>
      <c r="AM131" s="2663"/>
      <c r="AN131" s="2648"/>
      <c r="AO131" s="2628"/>
      <c r="AP131" s="2628"/>
      <c r="AQ131" s="2629"/>
    </row>
    <row r="132" spans="1:43" ht="85.5" customHeight="1" x14ac:dyDescent="0.2">
      <c r="A132" s="1800"/>
      <c r="D132" s="1801"/>
      <c r="G132" s="1801"/>
      <c r="I132" s="1901"/>
      <c r="J132" s="2769">
        <v>269</v>
      </c>
      <c r="K132" s="2733" t="s">
        <v>1754</v>
      </c>
      <c r="L132" s="2760" t="s">
        <v>1755</v>
      </c>
      <c r="M132" s="2761">
        <v>12</v>
      </c>
      <c r="N132" s="2744"/>
      <c r="O132" s="2763"/>
      <c r="P132" s="2747"/>
      <c r="Q132" s="2767">
        <f>(V132+V133)/R127</f>
        <v>9.0444093159586611E-2</v>
      </c>
      <c r="R132" s="2779"/>
      <c r="S132" s="2623"/>
      <c r="T132" s="2623"/>
      <c r="U132" s="1903" t="s">
        <v>1756</v>
      </c>
      <c r="V132" s="1779">
        <v>20300000</v>
      </c>
      <c r="W132" s="1781" t="s">
        <v>816</v>
      </c>
      <c r="X132" s="1781" t="s">
        <v>360</v>
      </c>
      <c r="Y132" s="2648"/>
      <c r="Z132" s="2650"/>
      <c r="AA132" s="2648"/>
      <c r="AB132" s="2648"/>
      <c r="AC132" s="2648"/>
      <c r="AD132" s="2648"/>
      <c r="AE132" s="2648"/>
      <c r="AF132" s="2648"/>
      <c r="AG132" s="2648"/>
      <c r="AH132" s="2648"/>
      <c r="AI132" s="2648"/>
      <c r="AJ132" s="2648"/>
      <c r="AK132" s="2648"/>
      <c r="AL132" s="2648"/>
      <c r="AM132" s="2663"/>
      <c r="AN132" s="2648"/>
      <c r="AO132" s="2628"/>
      <c r="AP132" s="2628"/>
      <c r="AQ132" s="2629"/>
    </row>
    <row r="133" spans="1:43" ht="59.25" customHeight="1" x14ac:dyDescent="0.2">
      <c r="A133" s="1800"/>
      <c r="D133" s="1801"/>
      <c r="G133" s="1801"/>
      <c r="I133" s="1901"/>
      <c r="J133" s="2770"/>
      <c r="K133" s="2732"/>
      <c r="L133" s="2760"/>
      <c r="M133" s="2761"/>
      <c r="N133" s="2744"/>
      <c r="O133" s="2763"/>
      <c r="P133" s="2747"/>
      <c r="Q133" s="2768"/>
      <c r="R133" s="2779"/>
      <c r="S133" s="2623"/>
      <c r="T133" s="2623"/>
      <c r="U133" s="1903" t="s">
        <v>1753</v>
      </c>
      <c r="V133" s="1779">
        <v>700000</v>
      </c>
      <c r="W133" s="1781">
        <v>20</v>
      </c>
      <c r="X133" s="1781" t="s">
        <v>62</v>
      </c>
      <c r="Y133" s="2648"/>
      <c r="Z133" s="2650"/>
      <c r="AA133" s="2648"/>
      <c r="AB133" s="2648"/>
      <c r="AC133" s="2648"/>
      <c r="AD133" s="2648"/>
      <c r="AE133" s="2648"/>
      <c r="AF133" s="2648"/>
      <c r="AG133" s="2648"/>
      <c r="AH133" s="2648"/>
      <c r="AI133" s="2648"/>
      <c r="AJ133" s="2648"/>
      <c r="AK133" s="2648"/>
      <c r="AL133" s="2648"/>
      <c r="AM133" s="2663"/>
      <c r="AN133" s="2648"/>
      <c r="AO133" s="2628"/>
      <c r="AP133" s="2628"/>
      <c r="AQ133" s="2629"/>
    </row>
    <row r="134" spans="1:43" ht="99.75" customHeight="1" x14ac:dyDescent="0.2">
      <c r="A134" s="1800"/>
      <c r="D134" s="1801"/>
      <c r="G134" s="1801"/>
      <c r="I134" s="1901"/>
      <c r="J134" s="2769">
        <v>270</v>
      </c>
      <c r="K134" s="2733" t="s">
        <v>1757</v>
      </c>
      <c r="L134" s="2760" t="s">
        <v>1758</v>
      </c>
      <c r="M134" s="2761">
        <v>12</v>
      </c>
      <c r="N134" s="2744"/>
      <c r="O134" s="2763"/>
      <c r="P134" s="2747"/>
      <c r="Q134" s="2767">
        <f>(V134+V135)/R127</f>
        <v>9.0444093159586611E-2</v>
      </c>
      <c r="R134" s="2779"/>
      <c r="S134" s="2623"/>
      <c r="T134" s="2623"/>
      <c r="U134" s="1903" t="s">
        <v>1759</v>
      </c>
      <c r="V134" s="1779">
        <v>20300000</v>
      </c>
      <c r="W134" s="1781" t="s">
        <v>816</v>
      </c>
      <c r="X134" s="1781" t="s">
        <v>62</v>
      </c>
      <c r="Y134" s="2648"/>
      <c r="Z134" s="2650"/>
      <c r="AA134" s="2648"/>
      <c r="AB134" s="2648"/>
      <c r="AC134" s="2648"/>
      <c r="AD134" s="2648"/>
      <c r="AE134" s="2648"/>
      <c r="AF134" s="2648"/>
      <c r="AG134" s="2648"/>
      <c r="AH134" s="2648"/>
      <c r="AI134" s="2648"/>
      <c r="AJ134" s="2648"/>
      <c r="AK134" s="2648"/>
      <c r="AL134" s="2648"/>
      <c r="AM134" s="2663"/>
      <c r="AN134" s="2648"/>
      <c r="AO134" s="2628"/>
      <c r="AP134" s="2628"/>
      <c r="AQ134" s="2629"/>
    </row>
    <row r="135" spans="1:43" ht="48" customHeight="1" x14ac:dyDescent="0.2">
      <c r="A135" s="1800"/>
      <c r="D135" s="1801"/>
      <c r="G135" s="1801"/>
      <c r="I135" s="1901"/>
      <c r="J135" s="2770"/>
      <c r="K135" s="2732"/>
      <c r="L135" s="2760"/>
      <c r="M135" s="2761"/>
      <c r="N135" s="2744"/>
      <c r="O135" s="2763"/>
      <c r="P135" s="2747"/>
      <c r="Q135" s="2768"/>
      <c r="R135" s="2779"/>
      <c r="S135" s="2623"/>
      <c r="T135" s="2623"/>
      <c r="U135" s="1903" t="s">
        <v>1753</v>
      </c>
      <c r="V135" s="1779">
        <v>700000</v>
      </c>
      <c r="W135" s="1781" t="s">
        <v>61</v>
      </c>
      <c r="X135" s="1781" t="s">
        <v>62</v>
      </c>
      <c r="Y135" s="2648"/>
      <c r="Z135" s="2650"/>
      <c r="AA135" s="2648"/>
      <c r="AB135" s="2648"/>
      <c r="AC135" s="2648"/>
      <c r="AD135" s="2648"/>
      <c r="AE135" s="2648"/>
      <c r="AF135" s="2648"/>
      <c r="AG135" s="2648"/>
      <c r="AH135" s="2648"/>
      <c r="AI135" s="2648"/>
      <c r="AJ135" s="2648"/>
      <c r="AK135" s="2648"/>
      <c r="AL135" s="2648"/>
      <c r="AM135" s="2663"/>
      <c r="AN135" s="2648"/>
      <c r="AO135" s="2628"/>
      <c r="AP135" s="2628"/>
      <c r="AQ135" s="2629"/>
    </row>
    <row r="136" spans="1:43" ht="34.5" customHeight="1" x14ac:dyDescent="0.2">
      <c r="A136" s="1800"/>
      <c r="D136" s="1801"/>
      <c r="G136" s="1801"/>
      <c r="I136" s="1901"/>
      <c r="J136" s="2769">
        <v>271</v>
      </c>
      <c r="K136" s="2733" t="s">
        <v>1760</v>
      </c>
      <c r="L136" s="2760" t="s">
        <v>1758</v>
      </c>
      <c r="M136" s="2761">
        <v>12</v>
      </c>
      <c r="N136" s="2744"/>
      <c r="O136" s="2763"/>
      <c r="P136" s="2747"/>
      <c r="Q136" s="2767">
        <f>(V136+V137+V138)/R127</f>
        <v>0.17326504132429379</v>
      </c>
      <c r="R136" s="2779"/>
      <c r="S136" s="2623"/>
      <c r="T136" s="2623"/>
      <c r="U136" s="2776" t="s">
        <v>1761</v>
      </c>
      <c r="V136" s="1779">
        <v>37410000</v>
      </c>
      <c r="W136" s="1781" t="s">
        <v>61</v>
      </c>
      <c r="X136" s="1781" t="s">
        <v>62</v>
      </c>
      <c r="Y136" s="2648"/>
      <c r="Z136" s="2650"/>
      <c r="AA136" s="2648"/>
      <c r="AB136" s="2648"/>
      <c r="AC136" s="2648"/>
      <c r="AD136" s="2648"/>
      <c r="AE136" s="2648"/>
      <c r="AF136" s="2648"/>
      <c r="AG136" s="2648"/>
      <c r="AH136" s="2648"/>
      <c r="AI136" s="2648"/>
      <c r="AJ136" s="2648"/>
      <c r="AK136" s="2648"/>
      <c r="AL136" s="2648"/>
      <c r="AM136" s="2663"/>
      <c r="AN136" s="2648"/>
      <c r="AO136" s="2628"/>
      <c r="AP136" s="2628"/>
      <c r="AQ136" s="2629"/>
    </row>
    <row r="137" spans="1:43" ht="55.5" customHeight="1" x14ac:dyDescent="0.2">
      <c r="A137" s="1800"/>
      <c r="D137" s="1801"/>
      <c r="G137" s="1801"/>
      <c r="I137" s="1901"/>
      <c r="J137" s="2771"/>
      <c r="K137" s="2772"/>
      <c r="L137" s="2760"/>
      <c r="M137" s="2761"/>
      <c r="N137" s="2762"/>
      <c r="O137" s="2764"/>
      <c r="P137" s="2778"/>
      <c r="Q137" s="2773"/>
      <c r="R137" s="2780"/>
      <c r="S137" s="2635"/>
      <c r="T137" s="2635"/>
      <c r="U137" s="2777"/>
      <c r="V137" s="1858">
        <f>0+2030000</f>
        <v>2030000</v>
      </c>
      <c r="W137" s="1781">
        <v>88</v>
      </c>
      <c r="X137" s="1781" t="s">
        <v>446</v>
      </c>
      <c r="Y137" s="2662"/>
      <c r="Z137" s="2737"/>
      <c r="AA137" s="2662"/>
      <c r="AB137" s="2662"/>
      <c r="AC137" s="2662"/>
      <c r="AD137" s="2662"/>
      <c r="AE137" s="2662"/>
      <c r="AF137" s="2662"/>
      <c r="AG137" s="2662"/>
      <c r="AH137" s="2662"/>
      <c r="AI137" s="2662"/>
      <c r="AJ137" s="2662"/>
      <c r="AK137" s="2662"/>
      <c r="AL137" s="2662"/>
      <c r="AM137" s="2663"/>
      <c r="AN137" s="2662"/>
      <c r="AO137" s="2669"/>
      <c r="AP137" s="2669"/>
      <c r="AQ137" s="2672"/>
    </row>
    <row r="138" spans="1:43" ht="50.25" customHeight="1" x14ac:dyDescent="0.2">
      <c r="A138" s="1800"/>
      <c r="D138" s="1801"/>
      <c r="G138" s="1801"/>
      <c r="I138" s="1901"/>
      <c r="J138" s="2770"/>
      <c r="K138" s="2732"/>
      <c r="L138" s="2760"/>
      <c r="M138" s="2761"/>
      <c r="N138" s="2762"/>
      <c r="O138" s="2764"/>
      <c r="P138" s="2778"/>
      <c r="Q138" s="2768"/>
      <c r="R138" s="2780"/>
      <c r="S138" s="2635"/>
      <c r="T138" s="2635"/>
      <c r="U138" s="1903" t="s">
        <v>1753</v>
      </c>
      <c r="V138" s="1858">
        <v>790000</v>
      </c>
      <c r="W138" s="1781">
        <v>20</v>
      </c>
      <c r="X138" s="1781" t="s">
        <v>62</v>
      </c>
      <c r="Y138" s="2662"/>
      <c r="Z138" s="2737"/>
      <c r="AA138" s="2662"/>
      <c r="AB138" s="2662"/>
      <c r="AC138" s="2662"/>
      <c r="AD138" s="2662"/>
      <c r="AE138" s="2662"/>
      <c r="AF138" s="2662"/>
      <c r="AG138" s="2662"/>
      <c r="AH138" s="2662"/>
      <c r="AI138" s="2662"/>
      <c r="AJ138" s="2662"/>
      <c r="AK138" s="2662"/>
      <c r="AL138" s="2662"/>
      <c r="AM138" s="2663"/>
      <c r="AN138" s="2662"/>
      <c r="AO138" s="2669"/>
      <c r="AP138" s="2669"/>
      <c r="AQ138" s="2672"/>
    </row>
    <row r="139" spans="1:43" ht="36" customHeight="1" x14ac:dyDescent="0.2">
      <c r="A139" s="1800"/>
      <c r="D139" s="1801"/>
      <c r="G139" s="1801"/>
      <c r="I139" s="1901"/>
      <c r="J139" s="2769">
        <v>272</v>
      </c>
      <c r="K139" s="2733" t="s">
        <v>1762</v>
      </c>
      <c r="L139" s="2760" t="s">
        <v>1758</v>
      </c>
      <c r="M139" s="2761">
        <v>12</v>
      </c>
      <c r="N139" s="2762"/>
      <c r="O139" s="2764"/>
      <c r="P139" s="2778"/>
      <c r="Q139" s="2767">
        <f>(V139:V141)/R127</f>
        <v>0.161119691671435</v>
      </c>
      <c r="R139" s="2780"/>
      <c r="S139" s="2635"/>
      <c r="T139" s="2635"/>
      <c r="U139" s="2776" t="s">
        <v>1763</v>
      </c>
      <c r="V139" s="1858">
        <v>37410000</v>
      </c>
      <c r="W139" s="1781">
        <v>20</v>
      </c>
      <c r="X139" s="1781" t="s">
        <v>62</v>
      </c>
      <c r="Y139" s="2662"/>
      <c r="Z139" s="2737"/>
      <c r="AA139" s="2662"/>
      <c r="AB139" s="2662"/>
      <c r="AC139" s="2662"/>
      <c r="AD139" s="2662"/>
      <c r="AE139" s="2662"/>
      <c r="AF139" s="2662"/>
      <c r="AG139" s="2662"/>
      <c r="AH139" s="2662"/>
      <c r="AI139" s="2662"/>
      <c r="AJ139" s="2662"/>
      <c r="AK139" s="2662"/>
      <c r="AL139" s="2662"/>
      <c r="AM139" s="2663"/>
      <c r="AN139" s="2662"/>
      <c r="AO139" s="2669"/>
      <c r="AP139" s="2669"/>
      <c r="AQ139" s="2672"/>
    </row>
    <row r="140" spans="1:43" ht="36" customHeight="1" x14ac:dyDescent="0.2">
      <c r="A140" s="1800"/>
      <c r="D140" s="1801"/>
      <c r="G140" s="1801"/>
      <c r="I140" s="1901"/>
      <c r="J140" s="2771"/>
      <c r="K140" s="2772"/>
      <c r="L140" s="2760"/>
      <c r="M140" s="2761"/>
      <c r="N140" s="2762"/>
      <c r="O140" s="2764"/>
      <c r="P140" s="2778"/>
      <c r="Q140" s="2773"/>
      <c r="R140" s="2780"/>
      <c r="S140" s="2635"/>
      <c r="T140" s="2635"/>
      <c r="U140" s="2777"/>
      <c r="V140" s="1858">
        <f>0+2030000</f>
        <v>2030000</v>
      </c>
      <c r="W140" s="1781">
        <v>88</v>
      </c>
      <c r="X140" s="1781" t="s">
        <v>358</v>
      </c>
      <c r="Y140" s="2662"/>
      <c r="Z140" s="2737"/>
      <c r="AA140" s="2662"/>
      <c r="AB140" s="2662"/>
      <c r="AC140" s="2662"/>
      <c r="AD140" s="2662"/>
      <c r="AE140" s="2662"/>
      <c r="AF140" s="2662"/>
      <c r="AG140" s="2662"/>
      <c r="AH140" s="2662"/>
      <c r="AI140" s="2662"/>
      <c r="AJ140" s="2662"/>
      <c r="AK140" s="2662"/>
      <c r="AL140" s="2662"/>
      <c r="AM140" s="2663"/>
      <c r="AN140" s="2662"/>
      <c r="AO140" s="2669"/>
      <c r="AP140" s="2669"/>
      <c r="AQ140" s="2672"/>
    </row>
    <row r="141" spans="1:43" ht="40.5" customHeight="1" x14ac:dyDescent="0.2">
      <c r="A141" s="1800"/>
      <c r="D141" s="1801"/>
      <c r="G141" s="1801"/>
      <c r="I141" s="1901"/>
      <c r="J141" s="2771"/>
      <c r="K141" s="2772"/>
      <c r="L141" s="2760"/>
      <c r="M141" s="2761"/>
      <c r="N141" s="2762"/>
      <c r="O141" s="2764"/>
      <c r="P141" s="2778"/>
      <c r="Q141" s="2768"/>
      <c r="R141" s="2780"/>
      <c r="S141" s="2635"/>
      <c r="T141" s="2635"/>
      <c r="U141" s="1904" t="s">
        <v>1753</v>
      </c>
      <c r="V141" s="1858">
        <v>790000</v>
      </c>
      <c r="W141" s="1781">
        <v>20</v>
      </c>
      <c r="X141" s="1781" t="s">
        <v>62</v>
      </c>
      <c r="Y141" s="2662"/>
      <c r="Z141" s="2737"/>
      <c r="AA141" s="2662"/>
      <c r="AB141" s="2662"/>
      <c r="AC141" s="2662"/>
      <c r="AD141" s="2662"/>
      <c r="AE141" s="2662"/>
      <c r="AF141" s="2662"/>
      <c r="AG141" s="2662"/>
      <c r="AH141" s="2662"/>
      <c r="AI141" s="2662"/>
      <c r="AJ141" s="2662"/>
      <c r="AK141" s="2662"/>
      <c r="AL141" s="2662"/>
      <c r="AM141" s="2663"/>
      <c r="AN141" s="2662"/>
      <c r="AO141" s="2669"/>
      <c r="AP141" s="2669"/>
      <c r="AQ141" s="2672"/>
    </row>
    <row r="142" spans="1:43" ht="85.5" x14ac:dyDescent="0.2">
      <c r="A142" s="1800"/>
      <c r="D142" s="1801"/>
      <c r="G142" s="1801"/>
      <c r="J142" s="1905">
        <v>273</v>
      </c>
      <c r="K142" s="1906" t="s">
        <v>1764</v>
      </c>
      <c r="L142" s="1907" t="s">
        <v>1755</v>
      </c>
      <c r="M142" s="1908">
        <v>12</v>
      </c>
      <c r="N142" s="2762"/>
      <c r="O142" s="2764"/>
      <c r="P142" s="2778"/>
      <c r="Q142" s="1909">
        <f>V142/R127</f>
        <v>8.1830370001530744E-3</v>
      </c>
      <c r="R142" s="2780"/>
      <c r="S142" s="2635"/>
      <c r="T142" s="2635"/>
      <c r="U142" s="1904" t="s">
        <v>1753</v>
      </c>
      <c r="V142" s="1858">
        <v>1900000</v>
      </c>
      <c r="W142" s="1781" t="s">
        <v>816</v>
      </c>
      <c r="X142" s="1781" t="s">
        <v>360</v>
      </c>
      <c r="Y142" s="2662"/>
      <c r="Z142" s="2737"/>
      <c r="AA142" s="2662"/>
      <c r="AB142" s="2662"/>
      <c r="AC142" s="2662"/>
      <c r="AD142" s="2662"/>
      <c r="AE142" s="2662"/>
      <c r="AF142" s="2662"/>
      <c r="AG142" s="2662"/>
      <c r="AH142" s="2662"/>
      <c r="AI142" s="2662"/>
      <c r="AJ142" s="2662"/>
      <c r="AK142" s="2662"/>
      <c r="AL142" s="2662"/>
      <c r="AM142" s="2663"/>
      <c r="AN142" s="2662"/>
      <c r="AO142" s="2669"/>
      <c r="AP142" s="2669"/>
      <c r="AQ142" s="2672"/>
    </row>
    <row r="143" spans="1:43" ht="51.75" customHeight="1" x14ac:dyDescent="0.2">
      <c r="A143" s="1800"/>
      <c r="D143" s="1801"/>
      <c r="G143" s="1801"/>
      <c r="J143" s="2788">
        <v>274</v>
      </c>
      <c r="K143" s="2759" t="s">
        <v>1765</v>
      </c>
      <c r="L143" s="2760" t="s">
        <v>1755</v>
      </c>
      <c r="M143" s="2761">
        <v>12</v>
      </c>
      <c r="N143" s="2762"/>
      <c r="O143" s="2764"/>
      <c r="P143" s="2778"/>
      <c r="Q143" s="2789">
        <f>(V143+V144+V145)/R127</f>
        <v>0.15573611469765009</v>
      </c>
      <c r="R143" s="2780"/>
      <c r="S143" s="2635"/>
      <c r="T143" s="2635"/>
      <c r="U143" s="2792" t="s">
        <v>1766</v>
      </c>
      <c r="V143" s="1858">
        <v>20300000</v>
      </c>
      <c r="W143" s="1781">
        <v>20</v>
      </c>
      <c r="X143" s="1781" t="s">
        <v>62</v>
      </c>
      <c r="Y143" s="2662"/>
      <c r="Z143" s="2737"/>
      <c r="AA143" s="2662"/>
      <c r="AB143" s="2662"/>
      <c r="AC143" s="2662"/>
      <c r="AD143" s="2662"/>
      <c r="AE143" s="2662"/>
      <c r="AF143" s="2662"/>
      <c r="AG143" s="2662"/>
      <c r="AH143" s="2662"/>
      <c r="AI143" s="2662"/>
      <c r="AJ143" s="2662"/>
      <c r="AK143" s="2662"/>
      <c r="AL143" s="2662"/>
      <c r="AM143" s="2663"/>
      <c r="AN143" s="2662"/>
      <c r="AO143" s="2669"/>
      <c r="AP143" s="2669"/>
      <c r="AQ143" s="2672"/>
    </row>
    <row r="144" spans="1:43" ht="51.75" customHeight="1" x14ac:dyDescent="0.2">
      <c r="A144" s="1800"/>
      <c r="D144" s="1801"/>
      <c r="G144" s="1801"/>
      <c r="J144" s="2788"/>
      <c r="K144" s="2759"/>
      <c r="L144" s="2760"/>
      <c r="M144" s="2761"/>
      <c r="N144" s="2762"/>
      <c r="O144" s="2764"/>
      <c r="P144" s="2778"/>
      <c r="Q144" s="2790"/>
      <c r="R144" s="2780"/>
      <c r="S144" s="2635"/>
      <c r="T144" s="2635"/>
      <c r="U144" s="2793"/>
      <c r="V144" s="1858">
        <f>0+15660000</f>
        <v>15660000</v>
      </c>
      <c r="W144" s="1781">
        <v>88</v>
      </c>
      <c r="X144" s="1781" t="s">
        <v>446</v>
      </c>
      <c r="Y144" s="2662"/>
      <c r="Z144" s="2737"/>
      <c r="AA144" s="2662"/>
      <c r="AB144" s="2662"/>
      <c r="AC144" s="2662"/>
      <c r="AD144" s="2662"/>
      <c r="AE144" s="2662"/>
      <c r="AF144" s="2662"/>
      <c r="AG144" s="2662"/>
      <c r="AH144" s="2662"/>
      <c r="AI144" s="2662"/>
      <c r="AJ144" s="2662"/>
      <c r="AK144" s="2662"/>
      <c r="AL144" s="2662"/>
      <c r="AM144" s="2663"/>
      <c r="AN144" s="2662"/>
      <c r="AO144" s="2669"/>
      <c r="AP144" s="2669"/>
      <c r="AQ144" s="2672"/>
    </row>
    <row r="145" spans="1:63" ht="51.75" customHeight="1" x14ac:dyDescent="0.2">
      <c r="A145" s="1800"/>
      <c r="D145" s="1801"/>
      <c r="G145" s="1801"/>
      <c r="J145" s="2788"/>
      <c r="K145" s="2759"/>
      <c r="L145" s="2760"/>
      <c r="M145" s="2761"/>
      <c r="N145" s="2762"/>
      <c r="O145" s="2764"/>
      <c r="P145" s="2778"/>
      <c r="Q145" s="2791"/>
      <c r="R145" s="2780"/>
      <c r="S145" s="2635"/>
      <c r="T145" s="2635"/>
      <c r="U145" s="1903" t="s">
        <v>1753</v>
      </c>
      <c r="V145" s="1858">
        <v>200000</v>
      </c>
      <c r="W145" s="1781">
        <v>20</v>
      </c>
      <c r="X145" s="1781" t="s">
        <v>62</v>
      </c>
      <c r="Y145" s="2662"/>
      <c r="Z145" s="2737"/>
      <c r="AA145" s="2662"/>
      <c r="AB145" s="2662"/>
      <c r="AC145" s="2662"/>
      <c r="AD145" s="2662"/>
      <c r="AE145" s="2662"/>
      <c r="AF145" s="2662"/>
      <c r="AG145" s="2662"/>
      <c r="AH145" s="2662"/>
      <c r="AI145" s="2662"/>
      <c r="AJ145" s="2662"/>
      <c r="AK145" s="2662"/>
      <c r="AL145" s="2662"/>
      <c r="AM145" s="2663"/>
      <c r="AN145" s="2662"/>
      <c r="AO145" s="2669"/>
      <c r="AP145" s="2669"/>
      <c r="AQ145" s="2672"/>
    </row>
    <row r="146" spans="1:63" ht="51.75" customHeight="1" x14ac:dyDescent="0.2">
      <c r="A146" s="1800"/>
      <c r="D146" s="1801"/>
      <c r="G146" s="1801"/>
      <c r="I146" s="1901"/>
      <c r="J146" s="2771">
        <v>260</v>
      </c>
      <c r="K146" s="2734" t="s">
        <v>1767</v>
      </c>
      <c r="L146" s="1907"/>
      <c r="M146" s="1908"/>
      <c r="N146" s="2646"/>
      <c r="O146" s="2764"/>
      <c r="P146" s="2778"/>
      <c r="Q146" s="2767">
        <f>(V146+V147)/R127</f>
        <v>7.057927124577186E-2</v>
      </c>
      <c r="R146" s="2780"/>
      <c r="S146" s="2635"/>
      <c r="T146" s="2635"/>
      <c r="U146" s="1903" t="s">
        <v>1768</v>
      </c>
      <c r="V146" s="1858">
        <v>15950000</v>
      </c>
      <c r="W146" s="1781">
        <v>20</v>
      </c>
      <c r="X146" s="1781" t="s">
        <v>62</v>
      </c>
      <c r="Y146" s="2662"/>
      <c r="Z146" s="2737"/>
      <c r="AA146" s="2662"/>
      <c r="AB146" s="2662"/>
      <c r="AC146" s="2662"/>
      <c r="AD146" s="2662"/>
      <c r="AE146" s="2662"/>
      <c r="AF146" s="2662"/>
      <c r="AG146" s="2662"/>
      <c r="AH146" s="2662"/>
      <c r="AI146" s="2662"/>
      <c r="AJ146" s="2662"/>
      <c r="AK146" s="2662"/>
      <c r="AL146" s="2662"/>
      <c r="AM146" s="2663"/>
      <c r="AN146" s="2662"/>
      <c r="AO146" s="2669"/>
      <c r="AP146" s="2669"/>
      <c r="AQ146" s="2672"/>
    </row>
    <row r="147" spans="1:63" ht="51.75" customHeight="1" thickBot="1" x14ac:dyDescent="0.25">
      <c r="A147" s="1800"/>
      <c r="D147" s="1801"/>
      <c r="G147" s="1801"/>
      <c r="I147" s="1901"/>
      <c r="J147" s="2785"/>
      <c r="K147" s="2786"/>
      <c r="L147" s="1907" t="s">
        <v>1769</v>
      </c>
      <c r="M147" s="1908">
        <v>12</v>
      </c>
      <c r="N147" s="2646"/>
      <c r="O147" s="2764"/>
      <c r="P147" s="2778"/>
      <c r="Q147" s="2787"/>
      <c r="R147" s="2780"/>
      <c r="S147" s="2635"/>
      <c r="T147" s="2635"/>
      <c r="U147" s="1903" t="s">
        <v>1753</v>
      </c>
      <c r="V147" s="1858">
        <v>437634</v>
      </c>
      <c r="W147" s="1781" t="s">
        <v>61</v>
      </c>
      <c r="X147" s="1781" t="s">
        <v>62</v>
      </c>
      <c r="Y147" s="2662"/>
      <c r="Z147" s="2737"/>
      <c r="AA147" s="2662"/>
      <c r="AB147" s="2662"/>
      <c r="AC147" s="2662"/>
      <c r="AD147" s="2662"/>
      <c r="AE147" s="2662"/>
      <c r="AF147" s="2662"/>
      <c r="AG147" s="2662"/>
      <c r="AH147" s="2662"/>
      <c r="AI147" s="2662"/>
      <c r="AJ147" s="2662"/>
      <c r="AK147" s="2662"/>
      <c r="AL147" s="2662"/>
      <c r="AM147" s="2663"/>
      <c r="AN147" s="2662"/>
      <c r="AO147" s="2669"/>
      <c r="AP147" s="2669"/>
      <c r="AQ147" s="2672"/>
    </row>
    <row r="148" spans="1:63" ht="39.75" customHeight="1" thickBot="1" x14ac:dyDescent="0.25">
      <c r="A148" s="1910"/>
      <c r="B148" s="1911"/>
      <c r="C148" s="1911"/>
      <c r="D148" s="1911"/>
      <c r="E148" s="1911"/>
      <c r="F148" s="1911"/>
      <c r="G148" s="1911"/>
      <c r="H148" s="1911"/>
      <c r="I148" s="1911"/>
      <c r="J148" s="1132"/>
      <c r="K148" s="1139"/>
      <c r="L148" s="1912"/>
      <c r="M148" s="1912"/>
      <c r="N148" s="1913" t="s">
        <v>325</v>
      </c>
      <c r="O148" s="1914"/>
      <c r="P148" s="1139"/>
      <c r="Q148" s="1915"/>
      <c r="R148" s="1916">
        <f>SUM(R8:R147)</f>
        <v>1489487634</v>
      </c>
      <c r="S148" s="1917"/>
      <c r="T148" s="1139"/>
      <c r="U148" s="1918"/>
      <c r="V148" s="1916">
        <f>SUM(V8:V147)</f>
        <v>1489487634</v>
      </c>
      <c r="W148" s="1138"/>
      <c r="X148" s="1919"/>
      <c r="Y148" s="1920"/>
      <c r="Z148" s="1921"/>
      <c r="AA148" s="1920"/>
      <c r="AB148" s="1920"/>
      <c r="AC148" s="1920"/>
      <c r="AD148" s="1920"/>
      <c r="AE148" s="1920"/>
      <c r="AF148" s="1920"/>
      <c r="AG148" s="1920"/>
      <c r="AH148" s="1920"/>
      <c r="AI148" s="1920"/>
      <c r="AJ148" s="1920"/>
      <c r="AK148" s="1920"/>
      <c r="AL148" s="1920"/>
      <c r="AM148" s="1920"/>
      <c r="AN148" s="1920"/>
      <c r="AO148" s="1140"/>
      <c r="AP148" s="1922"/>
      <c r="AQ148" s="1136"/>
    </row>
    <row r="149" spans="1:63" ht="39.75" customHeight="1" x14ac:dyDescent="0.25">
      <c r="C149" s="1923"/>
      <c r="D149" s="1923"/>
      <c r="V149" s="1926"/>
    </row>
    <row r="150" spans="1:63" s="1157" customFormat="1" ht="39.75" customHeight="1" x14ac:dyDescent="0.2">
      <c r="A150" s="1899"/>
      <c r="B150" s="1050"/>
      <c r="C150" s="1050"/>
      <c r="D150" s="1050"/>
      <c r="E150" s="1050"/>
      <c r="F150" s="1050"/>
      <c r="G150" s="1050"/>
      <c r="H150" s="1050"/>
      <c r="I150" s="1050"/>
      <c r="J150" s="1053"/>
      <c r="L150" s="1146"/>
      <c r="M150" s="1146"/>
      <c r="N150" s="1160"/>
      <c r="O150" s="1049"/>
      <c r="P150" s="1050"/>
      <c r="Q150" s="883"/>
      <c r="R150" s="1927"/>
      <c r="S150" s="1928"/>
      <c r="V150" s="1929"/>
      <c r="W150" s="1156"/>
      <c r="X150" s="1740"/>
      <c r="Y150" s="884"/>
      <c r="Z150" s="1152"/>
      <c r="AA150" s="884"/>
      <c r="AB150" s="884"/>
      <c r="AC150" s="884"/>
      <c r="AD150" s="884"/>
      <c r="AE150" s="884"/>
      <c r="AF150" s="884"/>
      <c r="AG150" s="884"/>
      <c r="AH150" s="884"/>
      <c r="AI150" s="884"/>
      <c r="AJ150" s="884"/>
      <c r="AK150" s="884"/>
      <c r="AL150" s="884"/>
      <c r="AM150" s="884"/>
      <c r="AN150" s="884"/>
      <c r="AO150" s="1158"/>
      <c r="AP150" s="1159"/>
      <c r="AQ150" s="883"/>
      <c r="AR150" s="884"/>
      <c r="AS150" s="884"/>
      <c r="AT150" s="884"/>
      <c r="AU150" s="884"/>
      <c r="AV150" s="884"/>
      <c r="AW150" s="884"/>
      <c r="AX150" s="884"/>
      <c r="AY150" s="884"/>
      <c r="AZ150" s="884"/>
      <c r="BA150" s="884"/>
      <c r="BB150" s="884"/>
      <c r="BC150" s="884"/>
      <c r="BD150" s="884"/>
      <c r="BE150" s="884"/>
      <c r="BF150" s="884"/>
      <c r="BG150" s="884"/>
      <c r="BH150" s="884"/>
      <c r="BI150" s="884"/>
      <c r="BJ150" s="884"/>
      <c r="BK150" s="884"/>
    </row>
    <row r="151" spans="1:63" s="1157" customFormat="1" ht="17.25" customHeight="1" x14ac:dyDescent="0.25">
      <c r="A151" s="1899"/>
      <c r="B151" s="1050"/>
      <c r="C151" s="1050"/>
      <c r="D151" s="1050"/>
      <c r="E151" s="1050"/>
      <c r="F151" s="1050"/>
      <c r="G151" s="1050"/>
      <c r="H151" s="1050"/>
      <c r="I151" s="1050"/>
      <c r="J151" s="1053"/>
      <c r="L151" s="1146"/>
      <c r="M151" s="1146"/>
      <c r="N151" s="1930" t="s">
        <v>1770</v>
      </c>
      <c r="O151" s="1930"/>
      <c r="P151" s="1931"/>
      <c r="Q151" s="1932"/>
      <c r="R151" s="1933"/>
      <c r="S151" s="1932"/>
      <c r="V151" s="1929"/>
      <c r="W151" s="1156"/>
      <c r="X151" s="1740"/>
      <c r="Y151" s="884"/>
      <c r="Z151" s="1152"/>
      <c r="AA151" s="884"/>
      <c r="AB151" s="884"/>
      <c r="AC151" s="884"/>
      <c r="AD151" s="884"/>
      <c r="AE151" s="884"/>
      <c r="AF151" s="884"/>
      <c r="AG151" s="884"/>
      <c r="AH151" s="884"/>
      <c r="AI151" s="884"/>
      <c r="AJ151" s="884"/>
      <c r="AK151" s="884"/>
      <c r="AL151" s="884"/>
      <c r="AM151" s="884"/>
      <c r="AN151" s="884"/>
      <c r="AO151" s="1158"/>
      <c r="AP151" s="1159"/>
      <c r="AQ151" s="883"/>
      <c r="AR151" s="884"/>
      <c r="AS151" s="884"/>
      <c r="AT151" s="884"/>
      <c r="AU151" s="884"/>
      <c r="AV151" s="884"/>
      <c r="AW151" s="884"/>
      <c r="AX151" s="884"/>
      <c r="AY151" s="884"/>
      <c r="AZ151" s="884"/>
      <c r="BA151" s="884"/>
      <c r="BB151" s="884"/>
      <c r="BC151" s="884"/>
      <c r="BD151" s="884"/>
      <c r="BE151" s="884"/>
      <c r="BF151" s="884"/>
      <c r="BG151" s="884"/>
      <c r="BH151" s="884"/>
      <c r="BI151" s="884"/>
      <c r="BJ151" s="884"/>
      <c r="BK151" s="884"/>
    </row>
    <row r="152" spans="1:63" s="1157" customFormat="1" ht="17.25" customHeight="1" x14ac:dyDescent="0.25">
      <c r="A152" s="1899"/>
      <c r="B152" s="1050"/>
      <c r="C152" s="1050"/>
      <c r="D152" s="1050"/>
      <c r="E152" s="1050"/>
      <c r="F152" s="1050"/>
      <c r="G152" s="1050"/>
      <c r="H152" s="1050"/>
      <c r="I152" s="1050"/>
      <c r="J152" s="1053"/>
      <c r="L152" s="1146"/>
      <c r="M152" s="1146"/>
      <c r="N152" s="1933" t="s">
        <v>1771</v>
      </c>
      <c r="O152" s="1933"/>
      <c r="P152" s="1932"/>
      <c r="Q152" s="1932"/>
      <c r="R152" s="1933"/>
      <c r="S152" s="1932"/>
      <c r="V152" s="1929"/>
      <c r="W152" s="1156"/>
      <c r="X152" s="1740"/>
      <c r="Y152" s="884"/>
      <c r="Z152" s="1152"/>
      <c r="AA152" s="884"/>
      <c r="AB152" s="884"/>
      <c r="AC152" s="884"/>
      <c r="AD152" s="884"/>
      <c r="AE152" s="884"/>
      <c r="AF152" s="884"/>
      <c r="AG152" s="884"/>
      <c r="AH152" s="884"/>
      <c r="AI152" s="884"/>
      <c r="AJ152" s="884"/>
      <c r="AK152" s="884"/>
      <c r="AL152" s="884"/>
      <c r="AM152" s="884"/>
      <c r="AN152" s="884"/>
      <c r="AO152" s="1158"/>
      <c r="AP152" s="1159"/>
      <c r="AQ152" s="883"/>
      <c r="AR152" s="884"/>
      <c r="AS152" s="884"/>
      <c r="AT152" s="884"/>
      <c r="AU152" s="884"/>
      <c r="AV152" s="884"/>
      <c r="AW152" s="884"/>
      <c r="AX152" s="884"/>
      <c r="AY152" s="884"/>
      <c r="AZ152" s="884"/>
      <c r="BA152" s="884"/>
      <c r="BB152" s="884"/>
      <c r="BC152" s="884"/>
      <c r="BD152" s="884"/>
      <c r="BE152" s="884"/>
      <c r="BF152" s="884"/>
      <c r="BG152" s="884"/>
      <c r="BH152" s="884"/>
      <c r="BI152" s="884"/>
      <c r="BJ152" s="884"/>
      <c r="BK152" s="884"/>
    </row>
  </sheetData>
  <sheetProtection password="F3F4" sheet="1" objects="1" scenarios="1"/>
  <mergeCells count="388">
    <mergeCell ref="M143:M145"/>
    <mergeCell ref="Q143:Q145"/>
    <mergeCell ref="U143:U144"/>
    <mergeCell ref="J139:J141"/>
    <mergeCell ref="K139:K141"/>
    <mergeCell ref="L139:L141"/>
    <mergeCell ref="M139:M141"/>
    <mergeCell ref="Q139:Q141"/>
    <mergeCell ref="U139:U140"/>
    <mergeCell ref="J136:J138"/>
    <mergeCell ref="K136:K138"/>
    <mergeCell ref="L136:L138"/>
    <mergeCell ref="M136:M138"/>
    <mergeCell ref="Q136:Q138"/>
    <mergeCell ref="U136:U137"/>
    <mergeCell ref="P127:P147"/>
    <mergeCell ref="Q127:Q128"/>
    <mergeCell ref="R127:R147"/>
    <mergeCell ref="S127:S147"/>
    <mergeCell ref="T127:T128"/>
    <mergeCell ref="U127:U128"/>
    <mergeCell ref="J146:J147"/>
    <mergeCell ref="K146:K147"/>
    <mergeCell ref="Q146:Q147"/>
    <mergeCell ref="J143:J145"/>
    <mergeCell ref="K143:K145"/>
    <mergeCell ref="L143:L145"/>
    <mergeCell ref="L132:L133"/>
    <mergeCell ref="M132:M133"/>
    <mergeCell ref="Q132:Q133"/>
    <mergeCell ref="J134:J135"/>
    <mergeCell ref="K134:K135"/>
    <mergeCell ref="L134:L135"/>
    <mergeCell ref="M134:M135"/>
    <mergeCell ref="Q134:Q135"/>
    <mergeCell ref="AQ127:AQ147"/>
    <mergeCell ref="J129:J131"/>
    <mergeCell ref="K129:K131"/>
    <mergeCell ref="L129:L131"/>
    <mergeCell ref="M129:M131"/>
    <mergeCell ref="Q129:Q131"/>
    <mergeCell ref="T129:T147"/>
    <mergeCell ref="U129:U130"/>
    <mergeCell ref="J132:J133"/>
    <mergeCell ref="K132:K133"/>
    <mergeCell ref="AK127:AK147"/>
    <mergeCell ref="AL127:AL147"/>
    <mergeCell ref="AM127:AM147"/>
    <mergeCell ref="AN127:AN147"/>
    <mergeCell ref="AO127:AO147"/>
    <mergeCell ref="AP127:AP147"/>
    <mergeCell ref="AE127:AE147"/>
    <mergeCell ref="AF127:AF147"/>
    <mergeCell ref="AG127:AG147"/>
    <mergeCell ref="AH127:AH147"/>
    <mergeCell ref="AI127:AI147"/>
    <mergeCell ref="AJ127:AJ147"/>
    <mergeCell ref="Y127:Y147"/>
    <mergeCell ref="Z127:Z147"/>
    <mergeCell ref="AA127:AA147"/>
    <mergeCell ref="AB127:AB147"/>
    <mergeCell ref="AC127:AC147"/>
    <mergeCell ref="AD127:AD147"/>
    <mergeCell ref="AN115:AN126"/>
    <mergeCell ref="AO115:AO126"/>
    <mergeCell ref="AP115:AP126"/>
    <mergeCell ref="AQ115:AQ126"/>
    <mergeCell ref="J127:J128"/>
    <mergeCell ref="K127:K128"/>
    <mergeCell ref="L127:L128"/>
    <mergeCell ref="M127:M128"/>
    <mergeCell ref="N127:N147"/>
    <mergeCell ref="O127:O147"/>
    <mergeCell ref="AH115:AH126"/>
    <mergeCell ref="AI115:AI126"/>
    <mergeCell ref="AJ115:AJ126"/>
    <mergeCell ref="AK115:AK126"/>
    <mergeCell ref="AL115:AL126"/>
    <mergeCell ref="AM115:AM126"/>
    <mergeCell ref="AB115:AB126"/>
    <mergeCell ref="AC115:AC126"/>
    <mergeCell ref="AD115:AD126"/>
    <mergeCell ref="AE115:AE126"/>
    <mergeCell ref="AF115:AF126"/>
    <mergeCell ref="AG115:AG126"/>
    <mergeCell ref="R115:R126"/>
    <mergeCell ref="S115:S126"/>
    <mergeCell ref="T115:T125"/>
    <mergeCell ref="Y115:Y126"/>
    <mergeCell ref="Z115:Z126"/>
    <mergeCell ref="AA115:AA126"/>
    <mergeCell ref="W112:W113"/>
    <mergeCell ref="X112:X113"/>
    <mergeCell ref="J115:J126"/>
    <mergeCell ref="K115:K126"/>
    <mergeCell ref="L115:L126"/>
    <mergeCell ref="M115:M126"/>
    <mergeCell ref="N115:N126"/>
    <mergeCell ref="O115:O126"/>
    <mergeCell ref="P115:P126"/>
    <mergeCell ref="Q115:Q126"/>
    <mergeCell ref="Q96:Q114"/>
    <mergeCell ref="R96:R114"/>
    <mergeCell ref="S96:S114"/>
    <mergeCell ref="T96:T100"/>
    <mergeCell ref="T101:T103"/>
    <mergeCell ref="T104:T114"/>
    <mergeCell ref="U112:U113"/>
    <mergeCell ref="V112:V113"/>
    <mergeCell ref="K96:K114"/>
    <mergeCell ref="L96:L114"/>
    <mergeCell ref="AQ96:AQ114"/>
    <mergeCell ref="U99:U100"/>
    <mergeCell ref="U104:U105"/>
    <mergeCell ref="U106:U107"/>
    <mergeCell ref="U108:U109"/>
    <mergeCell ref="U110:U111"/>
    <mergeCell ref="AG96:AG114"/>
    <mergeCell ref="AH96:AH114"/>
    <mergeCell ref="AI96:AI114"/>
    <mergeCell ref="AJ96:AJ114"/>
    <mergeCell ref="AK96:AK114"/>
    <mergeCell ref="AL96:AL114"/>
    <mergeCell ref="AA96:AA114"/>
    <mergeCell ref="AB96:AB114"/>
    <mergeCell ref="AC96:AC114"/>
    <mergeCell ref="AD96:AD114"/>
    <mergeCell ref="AE96:AE114"/>
    <mergeCell ref="AF96:AF114"/>
    <mergeCell ref="Y96:Y114"/>
    <mergeCell ref="Z96:Z114"/>
    <mergeCell ref="AQ90:AQ95"/>
    <mergeCell ref="U92:U93"/>
    <mergeCell ref="U94:U95"/>
    <mergeCell ref="A96:A114"/>
    <mergeCell ref="B96:C114"/>
    <mergeCell ref="D96:D114"/>
    <mergeCell ref="E96:F114"/>
    <mergeCell ref="G96:G114"/>
    <mergeCell ref="H96:I114"/>
    <mergeCell ref="J96:J114"/>
    <mergeCell ref="AK90:AK95"/>
    <mergeCell ref="AL90:AL95"/>
    <mergeCell ref="AM90:AM95"/>
    <mergeCell ref="AN90:AN95"/>
    <mergeCell ref="AO90:AO95"/>
    <mergeCell ref="AP90:AP95"/>
    <mergeCell ref="AE90:AE95"/>
    <mergeCell ref="AF90:AF95"/>
    <mergeCell ref="AG90:AG95"/>
    <mergeCell ref="AH90:AH95"/>
    <mergeCell ref="AM96:AM114"/>
    <mergeCell ref="AN96:AN114"/>
    <mergeCell ref="AO96:AO114"/>
    <mergeCell ref="AP96:AP114"/>
    <mergeCell ref="AD90:AD95"/>
    <mergeCell ref="P90:P95"/>
    <mergeCell ref="Q90:Q95"/>
    <mergeCell ref="R90:R95"/>
    <mergeCell ref="S90:S95"/>
    <mergeCell ref="T90:T95"/>
    <mergeCell ref="U90:U91"/>
    <mergeCell ref="M96:M114"/>
    <mergeCell ref="N96:N114"/>
    <mergeCell ref="O96:O114"/>
    <mergeCell ref="P96:P114"/>
    <mergeCell ref="J90:J95"/>
    <mergeCell ref="K90:K95"/>
    <mergeCell ref="L90:L95"/>
    <mergeCell ref="M90:M95"/>
    <mergeCell ref="N90:N95"/>
    <mergeCell ref="O90:O95"/>
    <mergeCell ref="AN81:AN89"/>
    <mergeCell ref="AO81:AO89"/>
    <mergeCell ref="AP81:AP89"/>
    <mergeCell ref="S81:S89"/>
    <mergeCell ref="T81:T88"/>
    <mergeCell ref="M81:M89"/>
    <mergeCell ref="N81:N89"/>
    <mergeCell ref="O81:O89"/>
    <mergeCell ref="P81:P89"/>
    <mergeCell ref="Q81:Q89"/>
    <mergeCell ref="R81:R89"/>
    <mergeCell ref="AI90:AI95"/>
    <mergeCell ref="AJ90:AJ95"/>
    <mergeCell ref="Y90:Y95"/>
    <mergeCell ref="Z90:Z95"/>
    <mergeCell ref="AA90:AA95"/>
    <mergeCell ref="AB90:AB95"/>
    <mergeCell ref="AC90:AC95"/>
    <mergeCell ref="AQ81:AQ89"/>
    <mergeCell ref="U83:U84"/>
    <mergeCell ref="U85:U86"/>
    <mergeCell ref="AH81:AH89"/>
    <mergeCell ref="AI81:AI89"/>
    <mergeCell ref="AJ81:AJ89"/>
    <mergeCell ref="AK81:AK89"/>
    <mergeCell ref="AL81:AL89"/>
    <mergeCell ref="AM81:AM89"/>
    <mergeCell ref="AB81:AB89"/>
    <mergeCell ref="AC81:AC89"/>
    <mergeCell ref="AD81:AD89"/>
    <mergeCell ref="AE81:AE89"/>
    <mergeCell ref="AF81:AF89"/>
    <mergeCell ref="AG81:AG89"/>
    <mergeCell ref="U81:U82"/>
    <mergeCell ref="Y81:Y89"/>
    <mergeCell ref="Z81:Z89"/>
    <mergeCell ref="AA81:AA89"/>
    <mergeCell ref="E81:F89"/>
    <mergeCell ref="G81:G89"/>
    <mergeCell ref="H81:I89"/>
    <mergeCell ref="J81:J89"/>
    <mergeCell ref="K81:K89"/>
    <mergeCell ref="L81:L89"/>
    <mergeCell ref="J77:J80"/>
    <mergeCell ref="K77:K80"/>
    <mergeCell ref="L77:L80"/>
    <mergeCell ref="M77:M80"/>
    <mergeCell ref="Q77:Q80"/>
    <mergeCell ref="T77:T80"/>
    <mergeCell ref="AL66:AL80"/>
    <mergeCell ref="AM66:AM80"/>
    <mergeCell ref="AN66:AN80"/>
    <mergeCell ref="AO66:AO80"/>
    <mergeCell ref="AP66:AP80"/>
    <mergeCell ref="AQ66:AQ80"/>
    <mergeCell ref="AF66:AF80"/>
    <mergeCell ref="AG66:AG80"/>
    <mergeCell ref="AH66:AH80"/>
    <mergeCell ref="AI66:AI80"/>
    <mergeCell ref="AJ66:AJ80"/>
    <mergeCell ref="AK66:AK80"/>
    <mergeCell ref="Z66:Z80"/>
    <mergeCell ref="AA66:AA80"/>
    <mergeCell ref="AB66:AB80"/>
    <mergeCell ref="AC66:AC80"/>
    <mergeCell ref="AD66:AD80"/>
    <mergeCell ref="AE66:AE80"/>
    <mergeCell ref="P66:P80"/>
    <mergeCell ref="Q66:Q73"/>
    <mergeCell ref="R66:R80"/>
    <mergeCell ref="S66:S80"/>
    <mergeCell ref="T66:T73"/>
    <mergeCell ref="Y66:Y80"/>
    <mergeCell ref="U67:U68"/>
    <mergeCell ref="U69:U70"/>
    <mergeCell ref="U77:U78"/>
    <mergeCell ref="U79:U80"/>
    <mergeCell ref="AQ52:AQ63"/>
    <mergeCell ref="T56:T61"/>
    <mergeCell ref="T62:T63"/>
    <mergeCell ref="AM52:AM63"/>
    <mergeCell ref="AN52:AN63"/>
    <mergeCell ref="AO52:AO63"/>
    <mergeCell ref="AP52:AP63"/>
    <mergeCell ref="F64:K64"/>
    <mergeCell ref="J66:J73"/>
    <mergeCell ref="K66:K73"/>
    <mergeCell ref="L66:L73"/>
    <mergeCell ref="M66:M73"/>
    <mergeCell ref="N66:N80"/>
    <mergeCell ref="O66:O80"/>
    <mergeCell ref="AK52:AK63"/>
    <mergeCell ref="AL52:AL63"/>
    <mergeCell ref="AE52:AE63"/>
    <mergeCell ref="AF52:AF63"/>
    <mergeCell ref="AG52:AG63"/>
    <mergeCell ref="AH52:AH63"/>
    <mergeCell ref="AI52:AI63"/>
    <mergeCell ref="AJ52:AJ63"/>
    <mergeCell ref="Y52:Y63"/>
    <mergeCell ref="Z52:Z63"/>
    <mergeCell ref="AA52:AA63"/>
    <mergeCell ref="AB52:AB63"/>
    <mergeCell ref="AC52:AC63"/>
    <mergeCell ref="AD52:AD63"/>
    <mergeCell ref="O52:O63"/>
    <mergeCell ref="P52:P63"/>
    <mergeCell ref="Q52:Q63"/>
    <mergeCell ref="R52:R63"/>
    <mergeCell ref="S52:S63"/>
    <mergeCell ref="T52:T55"/>
    <mergeCell ref="AQ34:AQ49"/>
    <mergeCell ref="T44:T45"/>
    <mergeCell ref="T46:T49"/>
    <mergeCell ref="E50:K50"/>
    <mergeCell ref="H51:K51"/>
    <mergeCell ref="J52:J63"/>
    <mergeCell ref="K52:K63"/>
    <mergeCell ref="L52:L63"/>
    <mergeCell ref="M52:M63"/>
    <mergeCell ref="N52:N63"/>
    <mergeCell ref="AK34:AK49"/>
    <mergeCell ref="AL34:AL49"/>
    <mergeCell ref="AM34:AM49"/>
    <mergeCell ref="AN34:AN49"/>
    <mergeCell ref="AO34:AO49"/>
    <mergeCell ref="AP34:AP49"/>
    <mergeCell ref="AE34:AE49"/>
    <mergeCell ref="AF34:AF49"/>
    <mergeCell ref="AG34:AG49"/>
    <mergeCell ref="AH34:AH49"/>
    <mergeCell ref="AI34:AI49"/>
    <mergeCell ref="AJ34:AJ49"/>
    <mergeCell ref="Y34:Y49"/>
    <mergeCell ref="Z34:Z49"/>
    <mergeCell ref="AA34:AA49"/>
    <mergeCell ref="AB34:AB49"/>
    <mergeCell ref="AC34:AC49"/>
    <mergeCell ref="AD34:AD49"/>
    <mergeCell ref="O34:O49"/>
    <mergeCell ref="P34:P49"/>
    <mergeCell ref="Q34:Q49"/>
    <mergeCell ref="R34:R49"/>
    <mergeCell ref="S34:S49"/>
    <mergeCell ref="T34:T42"/>
    <mergeCell ref="AQ11:AQ32"/>
    <mergeCell ref="AF11:AF32"/>
    <mergeCell ref="AG11:AG32"/>
    <mergeCell ref="AH11:AH32"/>
    <mergeCell ref="AI11:AI32"/>
    <mergeCell ref="AJ11:AJ32"/>
    <mergeCell ref="AK11:AK32"/>
    <mergeCell ref="H33:K33"/>
    <mergeCell ref="J34:J49"/>
    <mergeCell ref="K34:K49"/>
    <mergeCell ref="L34:L49"/>
    <mergeCell ref="M34:M49"/>
    <mergeCell ref="N34:N49"/>
    <mergeCell ref="AL11:AL32"/>
    <mergeCell ref="AM11:AM32"/>
    <mergeCell ref="AN11:AN32"/>
    <mergeCell ref="Z11:Z32"/>
    <mergeCell ref="AA11:AA32"/>
    <mergeCell ref="AB11:AB32"/>
    <mergeCell ref="AC11:AC32"/>
    <mergeCell ref="AD11:AD32"/>
    <mergeCell ref="AE11:AE32"/>
    <mergeCell ref="O11:O32"/>
    <mergeCell ref="P11:P32"/>
    <mergeCell ref="H10:K10"/>
    <mergeCell ref="J11:J32"/>
    <mergeCell ref="K11:K32"/>
    <mergeCell ref="L11:L32"/>
    <mergeCell ref="M11:M32"/>
    <mergeCell ref="N11:N32"/>
    <mergeCell ref="AN6:AN7"/>
    <mergeCell ref="AO6:AO7"/>
    <mergeCell ref="AP6:AP7"/>
    <mergeCell ref="AO11:AO32"/>
    <mergeCell ref="AP11:AP32"/>
    <mergeCell ref="Q11:Q32"/>
    <mergeCell ref="R11:R32"/>
    <mergeCell ref="S11:S32"/>
    <mergeCell ref="Y11:Y32"/>
    <mergeCell ref="T12:T32"/>
    <mergeCell ref="B8:K8"/>
    <mergeCell ref="E9:K9"/>
    <mergeCell ref="W6:W7"/>
    <mergeCell ref="X6:X7"/>
    <mergeCell ref="Y6:Z6"/>
    <mergeCell ref="AA6:AD6"/>
    <mergeCell ref="AE6:AJ6"/>
    <mergeCell ref="AK6:AM6"/>
    <mergeCell ref="Q6:Q7"/>
    <mergeCell ref="R6:R7"/>
    <mergeCell ref="S6:S7"/>
    <mergeCell ref="T6:T7"/>
    <mergeCell ref="U6:U7"/>
    <mergeCell ref="V6:V7"/>
    <mergeCell ref="K6:K7"/>
    <mergeCell ref="L6:L7"/>
    <mergeCell ref="M6:M7"/>
    <mergeCell ref="N6:N7"/>
    <mergeCell ref="O6:O7"/>
    <mergeCell ref="P6:P7"/>
    <mergeCell ref="A1:AO4"/>
    <mergeCell ref="A5:M5"/>
    <mergeCell ref="N5:AQ5"/>
    <mergeCell ref="A6:A7"/>
    <mergeCell ref="B6:C7"/>
    <mergeCell ref="D6:D7"/>
    <mergeCell ref="E6:F7"/>
    <mergeCell ref="G6:G7"/>
    <mergeCell ref="H6:I7"/>
    <mergeCell ref="J6:J7"/>
    <mergeCell ref="AQ6:AQ7"/>
  </mergeCells>
  <pageMargins left="1.1023622047244095" right="0.11811023622047245" top="0.35433070866141736" bottom="0.35433070866141736" header="0.31496062992125984" footer="0.31496062992125984"/>
  <pageSetup paperSize="5"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9"/>
  <sheetViews>
    <sheetView showGridLines="0" zoomScale="60" zoomScaleNormal="60" workbookViewId="0">
      <selection activeCell="G11" sqref="G11"/>
    </sheetView>
  </sheetViews>
  <sheetFormatPr baseColWidth="10" defaultColWidth="11.42578125" defaultRowHeight="15.75" x14ac:dyDescent="0.25"/>
  <cols>
    <col min="1" max="1" width="11.85546875" style="1152" customWidth="1"/>
    <col min="2" max="2" width="21.140625" style="884" customWidth="1"/>
    <col min="3" max="3" width="16.7109375" style="884" customWidth="1"/>
    <col min="4" max="4" width="20.28515625" style="884" customWidth="1"/>
    <col min="5" max="6" width="13.85546875" style="884" customWidth="1"/>
    <col min="7" max="7" width="13.140625" style="884" customWidth="1"/>
    <col min="8" max="8" width="11.7109375" style="884" customWidth="1"/>
    <col min="9" max="9" width="6.85546875" style="884" customWidth="1"/>
    <col min="10" max="10" width="14.5703125" style="884" customWidth="1"/>
    <col min="11" max="11" width="50.5703125" style="1157" customWidth="1"/>
    <col min="12" max="12" width="28.7109375" style="1146" customWidth="1"/>
    <col min="13" max="13" width="25.140625" style="1160" customWidth="1"/>
    <col min="14" max="14" width="36.7109375" style="1146" customWidth="1"/>
    <col min="15" max="15" width="24.5703125" style="1146" customWidth="1"/>
    <col min="16" max="16" width="24.5703125" style="1157" customWidth="1"/>
    <col min="17" max="17" width="17.85546875" style="1161" customWidth="1"/>
    <col min="18" max="18" width="26.85546875" style="1162" customWidth="1"/>
    <col min="19" max="19" width="37.28515625" style="1157" customWidth="1"/>
    <col min="20" max="20" width="48.42578125" style="1157" customWidth="1"/>
    <col min="21" max="21" width="34.140625" style="1157" customWidth="1"/>
    <col min="22" max="22" width="28.42578125" style="1163" customWidth="1"/>
    <col min="23" max="23" width="18.5703125" style="1156" customWidth="1"/>
    <col min="24" max="24" width="20.7109375" style="1157" customWidth="1"/>
    <col min="25" max="25" width="10.42578125" style="884" customWidth="1"/>
    <col min="26" max="26" width="10.5703125" style="884" customWidth="1"/>
    <col min="27" max="27" width="11.85546875" style="884" customWidth="1"/>
    <col min="28" max="28" width="10.140625" style="884" customWidth="1"/>
    <col min="29" max="29" width="10.5703125" style="884" customWidth="1"/>
    <col min="30" max="30" width="9.5703125" style="884" customWidth="1"/>
    <col min="31" max="31" width="9.28515625" style="884" customWidth="1"/>
    <col min="32" max="32" width="8.85546875" style="884" customWidth="1"/>
    <col min="33" max="35" width="8" style="884" customWidth="1"/>
    <col min="36" max="36" width="8.7109375" style="884" customWidth="1"/>
    <col min="37" max="37" width="9.85546875" style="884" customWidth="1"/>
    <col min="38" max="38" width="10.5703125" style="884" customWidth="1"/>
    <col min="39" max="39" width="9.85546875" style="884" customWidth="1"/>
    <col min="40" max="40" width="13.140625" style="884" customWidth="1"/>
    <col min="41" max="41" width="25.42578125" style="1158" customWidth="1"/>
    <col min="42" max="42" width="23" style="1159" customWidth="1"/>
    <col min="43" max="43" width="27.42578125" style="883" customWidth="1"/>
    <col min="44" max="254" width="11.42578125" style="884"/>
    <col min="255" max="256" width="11.42578125" style="1057"/>
    <col min="257" max="257" width="13" style="1057" bestFit="1" customWidth="1"/>
    <col min="258" max="258" width="6.85546875" style="1057" customWidth="1"/>
    <col min="259" max="259" width="14.28515625" style="1057" customWidth="1"/>
    <col min="260" max="260" width="14" style="1057" customWidth="1"/>
    <col min="261" max="261" width="17.85546875" style="1057" customWidth="1"/>
    <col min="262" max="262" width="3.5703125" style="1057" customWidth="1"/>
    <col min="263" max="263" width="13.28515625" style="1057" customWidth="1"/>
    <col min="264" max="264" width="5.85546875" style="1057" customWidth="1"/>
    <col min="265" max="265" width="23.28515625" style="1057" customWidth="1"/>
    <col min="266" max="266" width="17.140625" style="1057" customWidth="1"/>
    <col min="267" max="267" width="50.5703125" style="1057" customWidth="1"/>
    <col min="268" max="268" width="28.7109375" style="1057" customWidth="1"/>
    <col min="269" max="269" width="25.140625" style="1057" customWidth="1"/>
    <col min="270" max="270" width="36.7109375" style="1057" customWidth="1"/>
    <col min="271" max="272" width="24.5703125" style="1057" customWidth="1"/>
    <col min="273" max="273" width="17.85546875" style="1057" customWidth="1"/>
    <col min="274" max="274" width="27.5703125" style="1057" bestFit="1" customWidth="1"/>
    <col min="275" max="275" width="37.28515625" style="1057" customWidth="1"/>
    <col min="276" max="276" width="48.42578125" style="1057" customWidth="1"/>
    <col min="277" max="277" width="32" style="1057" customWidth="1"/>
    <col min="278" max="278" width="32.7109375" style="1057" customWidth="1"/>
    <col min="279" max="279" width="18.5703125" style="1057" customWidth="1"/>
    <col min="280" max="280" width="16.7109375" style="1057" customWidth="1"/>
    <col min="281" max="281" width="10.42578125" style="1057" customWidth="1"/>
    <col min="282" max="282" width="10.5703125" style="1057" customWidth="1"/>
    <col min="283" max="283" width="9.28515625" style="1057" customWidth="1"/>
    <col min="284" max="284" width="10.140625" style="1057" customWidth="1"/>
    <col min="285" max="285" width="8.42578125" style="1057" customWidth="1"/>
    <col min="286" max="286" width="9.5703125" style="1057" customWidth="1"/>
    <col min="287" max="287" width="9.28515625" style="1057" customWidth="1"/>
    <col min="288" max="288" width="8.85546875" style="1057" customWidth="1"/>
    <col min="289" max="291" width="8" style="1057" customWidth="1"/>
    <col min="292" max="292" width="8.7109375" style="1057" customWidth="1"/>
    <col min="293" max="293" width="8.140625" style="1057" customWidth="1"/>
    <col min="294" max="294" width="10.5703125" style="1057" customWidth="1"/>
    <col min="295" max="295" width="9.85546875" style="1057" customWidth="1"/>
    <col min="296" max="296" width="13.140625" style="1057" customWidth="1"/>
    <col min="297" max="297" width="25.42578125" style="1057" customWidth="1"/>
    <col min="298" max="298" width="30.85546875" style="1057" customWidth="1"/>
    <col min="299" max="299" width="27.42578125" style="1057" customWidth="1"/>
    <col min="300" max="512" width="11.42578125" style="1057"/>
    <col min="513" max="513" width="13" style="1057" bestFit="1" customWidth="1"/>
    <col min="514" max="514" width="6.85546875" style="1057" customWidth="1"/>
    <col min="515" max="515" width="14.28515625" style="1057" customWidth="1"/>
    <col min="516" max="516" width="14" style="1057" customWidth="1"/>
    <col min="517" max="517" width="17.85546875" style="1057" customWidth="1"/>
    <col min="518" max="518" width="3.5703125" style="1057" customWidth="1"/>
    <col min="519" max="519" width="13.28515625" style="1057" customWidth="1"/>
    <col min="520" max="520" width="5.85546875" style="1057" customWidth="1"/>
    <col min="521" max="521" width="23.28515625" style="1057" customWidth="1"/>
    <col min="522" max="522" width="17.140625" style="1057" customWidth="1"/>
    <col min="523" max="523" width="50.5703125" style="1057" customWidth="1"/>
    <col min="524" max="524" width="28.7109375" style="1057" customWidth="1"/>
    <col min="525" max="525" width="25.140625" style="1057" customWidth="1"/>
    <col min="526" max="526" width="36.7109375" style="1057" customWidth="1"/>
    <col min="527" max="528" width="24.5703125" style="1057" customWidth="1"/>
    <col min="529" max="529" width="17.85546875" style="1057" customWidth="1"/>
    <col min="530" max="530" width="27.5703125" style="1057" bestFit="1" customWidth="1"/>
    <col min="531" max="531" width="37.28515625" style="1057" customWidth="1"/>
    <col min="532" max="532" width="48.42578125" style="1057" customWidth="1"/>
    <col min="533" max="533" width="32" style="1057" customWidth="1"/>
    <col min="534" max="534" width="32.7109375" style="1057" customWidth="1"/>
    <col min="535" max="535" width="18.5703125" style="1057" customWidth="1"/>
    <col min="536" max="536" width="16.7109375" style="1057" customWidth="1"/>
    <col min="537" max="537" width="10.42578125" style="1057" customWidth="1"/>
    <col min="538" max="538" width="10.5703125" style="1057" customWidth="1"/>
    <col min="539" max="539" width="9.28515625" style="1057" customWidth="1"/>
    <col min="540" max="540" width="10.140625" style="1057" customWidth="1"/>
    <col min="541" max="541" width="8.42578125" style="1057" customWidth="1"/>
    <col min="542" max="542" width="9.5703125" style="1057" customWidth="1"/>
    <col min="543" max="543" width="9.28515625" style="1057" customWidth="1"/>
    <col min="544" max="544" width="8.85546875" style="1057" customWidth="1"/>
    <col min="545" max="547" width="8" style="1057" customWidth="1"/>
    <col min="548" max="548" width="8.7109375" style="1057" customWidth="1"/>
    <col min="549" max="549" width="8.140625" style="1057" customWidth="1"/>
    <col min="550" max="550" width="10.5703125" style="1057" customWidth="1"/>
    <col min="551" max="551" width="9.85546875" style="1057" customWidth="1"/>
    <col min="552" max="552" width="13.140625" style="1057" customWidth="1"/>
    <col min="553" max="553" width="25.42578125" style="1057" customWidth="1"/>
    <col min="554" max="554" width="30.85546875" style="1057" customWidth="1"/>
    <col min="555" max="555" width="27.42578125" style="1057" customWidth="1"/>
    <col min="556" max="768" width="11.42578125" style="1057"/>
    <col min="769" max="769" width="13" style="1057" bestFit="1" customWidth="1"/>
    <col min="770" max="770" width="6.85546875" style="1057" customWidth="1"/>
    <col min="771" max="771" width="14.28515625" style="1057" customWidth="1"/>
    <col min="772" max="772" width="14" style="1057" customWidth="1"/>
    <col min="773" max="773" width="17.85546875" style="1057" customWidth="1"/>
    <col min="774" max="774" width="3.5703125" style="1057" customWidth="1"/>
    <col min="775" max="775" width="13.28515625" style="1057" customWidth="1"/>
    <col min="776" max="776" width="5.85546875" style="1057" customWidth="1"/>
    <col min="777" max="777" width="23.28515625" style="1057" customWidth="1"/>
    <col min="778" max="778" width="17.140625" style="1057" customWidth="1"/>
    <col min="779" max="779" width="50.5703125" style="1057" customWidth="1"/>
    <col min="780" max="780" width="28.7109375" style="1057" customWidth="1"/>
    <col min="781" max="781" width="25.140625" style="1057" customWidth="1"/>
    <col min="782" max="782" width="36.7109375" style="1057" customWidth="1"/>
    <col min="783" max="784" width="24.5703125" style="1057" customWidth="1"/>
    <col min="785" max="785" width="17.85546875" style="1057" customWidth="1"/>
    <col min="786" max="786" width="27.5703125" style="1057" bestFit="1" customWidth="1"/>
    <col min="787" max="787" width="37.28515625" style="1057" customWidth="1"/>
    <col min="788" max="788" width="48.42578125" style="1057" customWidth="1"/>
    <col min="789" max="789" width="32" style="1057" customWidth="1"/>
    <col min="790" max="790" width="32.7109375" style="1057" customWidth="1"/>
    <col min="791" max="791" width="18.5703125" style="1057" customWidth="1"/>
    <col min="792" max="792" width="16.7109375" style="1057" customWidth="1"/>
    <col min="793" max="793" width="10.42578125" style="1057" customWidth="1"/>
    <col min="794" max="794" width="10.5703125" style="1057" customWidth="1"/>
    <col min="795" max="795" width="9.28515625" style="1057" customWidth="1"/>
    <col min="796" max="796" width="10.140625" style="1057" customWidth="1"/>
    <col min="797" max="797" width="8.42578125" style="1057" customWidth="1"/>
    <col min="798" max="798" width="9.5703125" style="1057" customWidth="1"/>
    <col min="799" max="799" width="9.28515625" style="1057" customWidth="1"/>
    <col min="800" max="800" width="8.85546875" style="1057" customWidth="1"/>
    <col min="801" max="803" width="8" style="1057" customWidth="1"/>
    <col min="804" max="804" width="8.7109375" style="1057" customWidth="1"/>
    <col min="805" max="805" width="8.140625" style="1057" customWidth="1"/>
    <col min="806" max="806" width="10.5703125" style="1057" customWidth="1"/>
    <col min="807" max="807" width="9.85546875" style="1057" customWidth="1"/>
    <col min="808" max="808" width="13.140625" style="1057" customWidth="1"/>
    <col min="809" max="809" width="25.42578125" style="1057" customWidth="1"/>
    <col min="810" max="810" width="30.85546875" style="1057" customWidth="1"/>
    <col min="811" max="811" width="27.42578125" style="1057" customWidth="1"/>
    <col min="812" max="1024" width="11.42578125" style="1057"/>
    <col min="1025" max="1025" width="13" style="1057" bestFit="1" customWidth="1"/>
    <col min="1026" max="1026" width="6.85546875" style="1057" customWidth="1"/>
    <col min="1027" max="1027" width="14.28515625" style="1057" customWidth="1"/>
    <col min="1028" max="1028" width="14" style="1057" customWidth="1"/>
    <col min="1029" max="1029" width="17.85546875" style="1057" customWidth="1"/>
    <col min="1030" max="1030" width="3.5703125" style="1057" customWidth="1"/>
    <col min="1031" max="1031" width="13.28515625" style="1057" customWidth="1"/>
    <col min="1032" max="1032" width="5.85546875" style="1057" customWidth="1"/>
    <col min="1033" max="1033" width="23.28515625" style="1057" customWidth="1"/>
    <col min="1034" max="1034" width="17.140625" style="1057" customWidth="1"/>
    <col min="1035" max="1035" width="50.5703125" style="1057" customWidth="1"/>
    <col min="1036" max="1036" width="28.7109375" style="1057" customWidth="1"/>
    <col min="1037" max="1037" width="25.140625" style="1057" customWidth="1"/>
    <col min="1038" max="1038" width="36.7109375" style="1057" customWidth="1"/>
    <col min="1039" max="1040" width="24.5703125" style="1057" customWidth="1"/>
    <col min="1041" max="1041" width="17.85546875" style="1057" customWidth="1"/>
    <col min="1042" max="1042" width="27.5703125" style="1057" bestFit="1" customWidth="1"/>
    <col min="1043" max="1043" width="37.28515625" style="1057" customWidth="1"/>
    <col min="1044" max="1044" width="48.42578125" style="1057" customWidth="1"/>
    <col min="1045" max="1045" width="32" style="1057" customWidth="1"/>
    <col min="1046" max="1046" width="32.7109375" style="1057" customWidth="1"/>
    <col min="1047" max="1047" width="18.5703125" style="1057" customWidth="1"/>
    <col min="1048" max="1048" width="16.7109375" style="1057" customWidth="1"/>
    <col min="1049" max="1049" width="10.42578125" style="1057" customWidth="1"/>
    <col min="1050" max="1050" width="10.5703125" style="1057" customWidth="1"/>
    <col min="1051" max="1051" width="9.28515625" style="1057" customWidth="1"/>
    <col min="1052" max="1052" width="10.140625" style="1057" customWidth="1"/>
    <col min="1053" max="1053" width="8.42578125" style="1057" customWidth="1"/>
    <col min="1054" max="1054" width="9.5703125" style="1057" customWidth="1"/>
    <col min="1055" max="1055" width="9.28515625" style="1057" customWidth="1"/>
    <col min="1056" max="1056" width="8.85546875" style="1057" customWidth="1"/>
    <col min="1057" max="1059" width="8" style="1057" customWidth="1"/>
    <col min="1060" max="1060" width="8.7109375" style="1057" customWidth="1"/>
    <col min="1061" max="1061" width="8.140625" style="1057" customWidth="1"/>
    <col min="1062" max="1062" width="10.5703125" style="1057" customWidth="1"/>
    <col min="1063" max="1063" width="9.85546875" style="1057" customWidth="1"/>
    <col min="1064" max="1064" width="13.140625" style="1057" customWidth="1"/>
    <col min="1065" max="1065" width="25.42578125" style="1057" customWidth="1"/>
    <col min="1066" max="1066" width="30.85546875" style="1057" customWidth="1"/>
    <col min="1067" max="1067" width="27.42578125" style="1057" customWidth="1"/>
    <col min="1068" max="1280" width="11.42578125" style="1057"/>
    <col min="1281" max="1281" width="13" style="1057" bestFit="1" customWidth="1"/>
    <col min="1282" max="1282" width="6.85546875" style="1057" customWidth="1"/>
    <col min="1283" max="1283" width="14.28515625" style="1057" customWidth="1"/>
    <col min="1284" max="1284" width="14" style="1057" customWidth="1"/>
    <col min="1285" max="1285" width="17.85546875" style="1057" customWidth="1"/>
    <col min="1286" max="1286" width="3.5703125" style="1057" customWidth="1"/>
    <col min="1287" max="1287" width="13.28515625" style="1057" customWidth="1"/>
    <col min="1288" max="1288" width="5.85546875" style="1057" customWidth="1"/>
    <col min="1289" max="1289" width="23.28515625" style="1057" customWidth="1"/>
    <col min="1290" max="1290" width="17.140625" style="1057" customWidth="1"/>
    <col min="1291" max="1291" width="50.5703125" style="1057" customWidth="1"/>
    <col min="1292" max="1292" width="28.7109375" style="1057" customWidth="1"/>
    <col min="1293" max="1293" width="25.140625" style="1057" customWidth="1"/>
    <col min="1294" max="1294" width="36.7109375" style="1057" customWidth="1"/>
    <col min="1295" max="1296" width="24.5703125" style="1057" customWidth="1"/>
    <col min="1297" max="1297" width="17.85546875" style="1057" customWidth="1"/>
    <col min="1298" max="1298" width="27.5703125" style="1057" bestFit="1" customWidth="1"/>
    <col min="1299" max="1299" width="37.28515625" style="1057" customWidth="1"/>
    <col min="1300" max="1300" width="48.42578125" style="1057" customWidth="1"/>
    <col min="1301" max="1301" width="32" style="1057" customWidth="1"/>
    <col min="1302" max="1302" width="32.7109375" style="1057" customWidth="1"/>
    <col min="1303" max="1303" width="18.5703125" style="1057" customWidth="1"/>
    <col min="1304" max="1304" width="16.7109375" style="1057" customWidth="1"/>
    <col min="1305" max="1305" width="10.42578125" style="1057" customWidth="1"/>
    <col min="1306" max="1306" width="10.5703125" style="1057" customWidth="1"/>
    <col min="1307" max="1307" width="9.28515625" style="1057" customWidth="1"/>
    <col min="1308" max="1308" width="10.140625" style="1057" customWidth="1"/>
    <col min="1309" max="1309" width="8.42578125" style="1057" customWidth="1"/>
    <col min="1310" max="1310" width="9.5703125" style="1057" customWidth="1"/>
    <col min="1311" max="1311" width="9.28515625" style="1057" customWidth="1"/>
    <col min="1312" max="1312" width="8.85546875" style="1057" customWidth="1"/>
    <col min="1313" max="1315" width="8" style="1057" customWidth="1"/>
    <col min="1316" max="1316" width="8.7109375" style="1057" customWidth="1"/>
    <col min="1317" max="1317" width="8.140625" style="1057" customWidth="1"/>
    <col min="1318" max="1318" width="10.5703125" style="1057" customWidth="1"/>
    <col min="1319" max="1319" width="9.85546875" style="1057" customWidth="1"/>
    <col min="1320" max="1320" width="13.140625" style="1057" customWidth="1"/>
    <col min="1321" max="1321" width="25.42578125" style="1057" customWidth="1"/>
    <col min="1322" max="1322" width="30.85546875" style="1057" customWidth="1"/>
    <col min="1323" max="1323" width="27.42578125" style="1057" customWidth="1"/>
    <col min="1324" max="1536" width="11.42578125" style="1057"/>
    <col min="1537" max="1537" width="13" style="1057" bestFit="1" customWidth="1"/>
    <col min="1538" max="1538" width="6.85546875" style="1057" customWidth="1"/>
    <col min="1539" max="1539" width="14.28515625" style="1057" customWidth="1"/>
    <col min="1540" max="1540" width="14" style="1057" customWidth="1"/>
    <col min="1541" max="1541" width="17.85546875" style="1057" customWidth="1"/>
    <col min="1542" max="1542" width="3.5703125" style="1057" customWidth="1"/>
    <col min="1543" max="1543" width="13.28515625" style="1057" customWidth="1"/>
    <col min="1544" max="1544" width="5.85546875" style="1057" customWidth="1"/>
    <col min="1545" max="1545" width="23.28515625" style="1057" customWidth="1"/>
    <col min="1546" max="1546" width="17.140625" style="1057" customWidth="1"/>
    <col min="1547" max="1547" width="50.5703125" style="1057" customWidth="1"/>
    <col min="1548" max="1548" width="28.7109375" style="1057" customWidth="1"/>
    <col min="1549" max="1549" width="25.140625" style="1057" customWidth="1"/>
    <col min="1550" max="1550" width="36.7109375" style="1057" customWidth="1"/>
    <col min="1551" max="1552" width="24.5703125" style="1057" customWidth="1"/>
    <col min="1553" max="1553" width="17.85546875" style="1057" customWidth="1"/>
    <col min="1554" max="1554" width="27.5703125" style="1057" bestFit="1" customWidth="1"/>
    <col min="1555" max="1555" width="37.28515625" style="1057" customWidth="1"/>
    <col min="1556" max="1556" width="48.42578125" style="1057" customWidth="1"/>
    <col min="1557" max="1557" width="32" style="1057" customWidth="1"/>
    <col min="1558" max="1558" width="32.7109375" style="1057" customWidth="1"/>
    <col min="1559" max="1559" width="18.5703125" style="1057" customWidth="1"/>
    <col min="1560" max="1560" width="16.7109375" style="1057" customWidth="1"/>
    <col min="1561" max="1561" width="10.42578125" style="1057" customWidth="1"/>
    <col min="1562" max="1562" width="10.5703125" style="1057" customWidth="1"/>
    <col min="1563" max="1563" width="9.28515625" style="1057" customWidth="1"/>
    <col min="1564" max="1564" width="10.140625" style="1057" customWidth="1"/>
    <col min="1565" max="1565" width="8.42578125" style="1057" customWidth="1"/>
    <col min="1566" max="1566" width="9.5703125" style="1057" customWidth="1"/>
    <col min="1567" max="1567" width="9.28515625" style="1057" customWidth="1"/>
    <col min="1568" max="1568" width="8.85546875" style="1057" customWidth="1"/>
    <col min="1569" max="1571" width="8" style="1057" customWidth="1"/>
    <col min="1572" max="1572" width="8.7109375" style="1057" customWidth="1"/>
    <col min="1573" max="1573" width="8.140625" style="1057" customWidth="1"/>
    <col min="1574" max="1574" width="10.5703125" style="1057" customWidth="1"/>
    <col min="1575" max="1575" width="9.85546875" style="1057" customWidth="1"/>
    <col min="1576" max="1576" width="13.140625" style="1057" customWidth="1"/>
    <col min="1577" max="1577" width="25.42578125" style="1057" customWidth="1"/>
    <col min="1578" max="1578" width="30.85546875" style="1057" customWidth="1"/>
    <col min="1579" max="1579" width="27.42578125" style="1057" customWidth="1"/>
    <col min="1580" max="1792" width="11.42578125" style="1057"/>
    <col min="1793" max="1793" width="13" style="1057" bestFit="1" customWidth="1"/>
    <col min="1794" max="1794" width="6.85546875" style="1057" customWidth="1"/>
    <col min="1795" max="1795" width="14.28515625" style="1057" customWidth="1"/>
    <col min="1796" max="1796" width="14" style="1057" customWidth="1"/>
    <col min="1797" max="1797" width="17.85546875" style="1057" customWidth="1"/>
    <col min="1798" max="1798" width="3.5703125" style="1057" customWidth="1"/>
    <col min="1799" max="1799" width="13.28515625" style="1057" customWidth="1"/>
    <col min="1800" max="1800" width="5.85546875" style="1057" customWidth="1"/>
    <col min="1801" max="1801" width="23.28515625" style="1057" customWidth="1"/>
    <col min="1802" max="1802" width="17.140625" style="1057" customWidth="1"/>
    <col min="1803" max="1803" width="50.5703125" style="1057" customWidth="1"/>
    <col min="1804" max="1804" width="28.7109375" style="1057" customWidth="1"/>
    <col min="1805" max="1805" width="25.140625" style="1057" customWidth="1"/>
    <col min="1806" max="1806" width="36.7109375" style="1057" customWidth="1"/>
    <col min="1807" max="1808" width="24.5703125" style="1057" customWidth="1"/>
    <col min="1809" max="1809" width="17.85546875" style="1057" customWidth="1"/>
    <col min="1810" max="1810" width="27.5703125" style="1057" bestFit="1" customWidth="1"/>
    <col min="1811" max="1811" width="37.28515625" style="1057" customWidth="1"/>
    <col min="1812" max="1812" width="48.42578125" style="1057" customWidth="1"/>
    <col min="1813" max="1813" width="32" style="1057" customWidth="1"/>
    <col min="1814" max="1814" width="32.7109375" style="1057" customWidth="1"/>
    <col min="1815" max="1815" width="18.5703125" style="1057" customWidth="1"/>
    <col min="1816" max="1816" width="16.7109375" style="1057" customWidth="1"/>
    <col min="1817" max="1817" width="10.42578125" style="1057" customWidth="1"/>
    <col min="1818" max="1818" width="10.5703125" style="1057" customWidth="1"/>
    <col min="1819" max="1819" width="9.28515625" style="1057" customWidth="1"/>
    <col min="1820" max="1820" width="10.140625" style="1057" customWidth="1"/>
    <col min="1821" max="1821" width="8.42578125" style="1057" customWidth="1"/>
    <col min="1822" max="1822" width="9.5703125" style="1057" customWidth="1"/>
    <col min="1823" max="1823" width="9.28515625" style="1057" customWidth="1"/>
    <col min="1824" max="1824" width="8.85546875" style="1057" customWidth="1"/>
    <col min="1825" max="1827" width="8" style="1057" customWidth="1"/>
    <col min="1828" max="1828" width="8.7109375" style="1057" customWidth="1"/>
    <col min="1829" max="1829" width="8.140625" style="1057" customWidth="1"/>
    <col min="1830" max="1830" width="10.5703125" style="1057" customWidth="1"/>
    <col min="1831" max="1831" width="9.85546875" style="1057" customWidth="1"/>
    <col min="1832" max="1832" width="13.140625" style="1057" customWidth="1"/>
    <col min="1833" max="1833" width="25.42578125" style="1057" customWidth="1"/>
    <col min="1834" max="1834" width="30.85546875" style="1057" customWidth="1"/>
    <col min="1835" max="1835" width="27.42578125" style="1057" customWidth="1"/>
    <col min="1836" max="2048" width="11.42578125" style="1057"/>
    <col min="2049" max="2049" width="13" style="1057" bestFit="1" customWidth="1"/>
    <col min="2050" max="2050" width="6.85546875" style="1057" customWidth="1"/>
    <col min="2051" max="2051" width="14.28515625" style="1057" customWidth="1"/>
    <col min="2052" max="2052" width="14" style="1057" customWidth="1"/>
    <col min="2053" max="2053" width="17.85546875" style="1057" customWidth="1"/>
    <col min="2054" max="2054" width="3.5703125" style="1057" customWidth="1"/>
    <col min="2055" max="2055" width="13.28515625" style="1057" customWidth="1"/>
    <col min="2056" max="2056" width="5.85546875" style="1057" customWidth="1"/>
    <col min="2057" max="2057" width="23.28515625" style="1057" customWidth="1"/>
    <col min="2058" max="2058" width="17.140625" style="1057" customWidth="1"/>
    <col min="2059" max="2059" width="50.5703125" style="1057" customWidth="1"/>
    <col min="2060" max="2060" width="28.7109375" style="1057" customWidth="1"/>
    <col min="2061" max="2061" width="25.140625" style="1057" customWidth="1"/>
    <col min="2062" max="2062" width="36.7109375" style="1057" customWidth="1"/>
    <col min="2063" max="2064" width="24.5703125" style="1057" customWidth="1"/>
    <col min="2065" max="2065" width="17.85546875" style="1057" customWidth="1"/>
    <col min="2066" max="2066" width="27.5703125" style="1057" bestFit="1" customWidth="1"/>
    <col min="2067" max="2067" width="37.28515625" style="1057" customWidth="1"/>
    <col min="2068" max="2068" width="48.42578125" style="1057" customWidth="1"/>
    <col min="2069" max="2069" width="32" style="1057" customWidth="1"/>
    <col min="2070" max="2070" width="32.7109375" style="1057" customWidth="1"/>
    <col min="2071" max="2071" width="18.5703125" style="1057" customWidth="1"/>
    <col min="2072" max="2072" width="16.7109375" style="1057" customWidth="1"/>
    <col min="2073" max="2073" width="10.42578125" style="1057" customWidth="1"/>
    <col min="2074" max="2074" width="10.5703125" style="1057" customWidth="1"/>
    <col min="2075" max="2075" width="9.28515625" style="1057" customWidth="1"/>
    <col min="2076" max="2076" width="10.140625" style="1057" customWidth="1"/>
    <col min="2077" max="2077" width="8.42578125" style="1057" customWidth="1"/>
    <col min="2078" max="2078" width="9.5703125" style="1057" customWidth="1"/>
    <col min="2079" max="2079" width="9.28515625" style="1057" customWidth="1"/>
    <col min="2080" max="2080" width="8.85546875" style="1057" customWidth="1"/>
    <col min="2081" max="2083" width="8" style="1057" customWidth="1"/>
    <col min="2084" max="2084" width="8.7109375" style="1057" customWidth="1"/>
    <col min="2085" max="2085" width="8.140625" style="1057" customWidth="1"/>
    <col min="2086" max="2086" width="10.5703125" style="1057" customWidth="1"/>
    <col min="2087" max="2087" width="9.85546875" style="1057" customWidth="1"/>
    <col min="2088" max="2088" width="13.140625" style="1057" customWidth="1"/>
    <col min="2089" max="2089" width="25.42578125" style="1057" customWidth="1"/>
    <col min="2090" max="2090" width="30.85546875" style="1057" customWidth="1"/>
    <col min="2091" max="2091" width="27.42578125" style="1057" customWidth="1"/>
    <col min="2092" max="2304" width="11.42578125" style="1057"/>
    <col min="2305" max="2305" width="13" style="1057" bestFit="1" customWidth="1"/>
    <col min="2306" max="2306" width="6.85546875" style="1057" customWidth="1"/>
    <col min="2307" max="2307" width="14.28515625" style="1057" customWidth="1"/>
    <col min="2308" max="2308" width="14" style="1057" customWidth="1"/>
    <col min="2309" max="2309" width="17.85546875" style="1057" customWidth="1"/>
    <col min="2310" max="2310" width="3.5703125" style="1057" customWidth="1"/>
    <col min="2311" max="2311" width="13.28515625" style="1057" customWidth="1"/>
    <col min="2312" max="2312" width="5.85546875" style="1057" customWidth="1"/>
    <col min="2313" max="2313" width="23.28515625" style="1057" customWidth="1"/>
    <col min="2314" max="2314" width="17.140625" style="1057" customWidth="1"/>
    <col min="2315" max="2315" width="50.5703125" style="1057" customWidth="1"/>
    <col min="2316" max="2316" width="28.7109375" style="1057" customWidth="1"/>
    <col min="2317" max="2317" width="25.140625" style="1057" customWidth="1"/>
    <col min="2318" max="2318" width="36.7109375" style="1057" customWidth="1"/>
    <col min="2319" max="2320" width="24.5703125" style="1057" customWidth="1"/>
    <col min="2321" max="2321" width="17.85546875" style="1057" customWidth="1"/>
    <col min="2322" max="2322" width="27.5703125" style="1057" bestFit="1" customWidth="1"/>
    <col min="2323" max="2323" width="37.28515625" style="1057" customWidth="1"/>
    <col min="2324" max="2324" width="48.42578125" style="1057" customWidth="1"/>
    <col min="2325" max="2325" width="32" style="1057" customWidth="1"/>
    <col min="2326" max="2326" width="32.7109375" style="1057" customWidth="1"/>
    <col min="2327" max="2327" width="18.5703125" style="1057" customWidth="1"/>
    <col min="2328" max="2328" width="16.7109375" style="1057" customWidth="1"/>
    <col min="2329" max="2329" width="10.42578125" style="1057" customWidth="1"/>
    <col min="2330" max="2330" width="10.5703125" style="1057" customWidth="1"/>
    <col min="2331" max="2331" width="9.28515625" style="1057" customWidth="1"/>
    <col min="2332" max="2332" width="10.140625" style="1057" customWidth="1"/>
    <col min="2333" max="2333" width="8.42578125" style="1057" customWidth="1"/>
    <col min="2334" max="2334" width="9.5703125" style="1057" customWidth="1"/>
    <col min="2335" max="2335" width="9.28515625" style="1057" customWidth="1"/>
    <col min="2336" max="2336" width="8.85546875" style="1057" customWidth="1"/>
    <col min="2337" max="2339" width="8" style="1057" customWidth="1"/>
    <col min="2340" max="2340" width="8.7109375" style="1057" customWidth="1"/>
    <col min="2341" max="2341" width="8.140625" style="1057" customWidth="1"/>
    <col min="2342" max="2342" width="10.5703125" style="1057" customWidth="1"/>
    <col min="2343" max="2343" width="9.85546875" style="1057" customWidth="1"/>
    <col min="2344" max="2344" width="13.140625" style="1057" customWidth="1"/>
    <col min="2345" max="2345" width="25.42578125" style="1057" customWidth="1"/>
    <col min="2346" max="2346" width="30.85546875" style="1057" customWidth="1"/>
    <col min="2347" max="2347" width="27.42578125" style="1057" customWidth="1"/>
    <col min="2348" max="2560" width="11.42578125" style="1057"/>
    <col min="2561" max="2561" width="13" style="1057" bestFit="1" customWidth="1"/>
    <col min="2562" max="2562" width="6.85546875" style="1057" customWidth="1"/>
    <col min="2563" max="2563" width="14.28515625" style="1057" customWidth="1"/>
    <col min="2564" max="2564" width="14" style="1057" customWidth="1"/>
    <col min="2565" max="2565" width="17.85546875" style="1057" customWidth="1"/>
    <col min="2566" max="2566" width="3.5703125" style="1057" customWidth="1"/>
    <col min="2567" max="2567" width="13.28515625" style="1057" customWidth="1"/>
    <col min="2568" max="2568" width="5.85546875" style="1057" customWidth="1"/>
    <col min="2569" max="2569" width="23.28515625" style="1057" customWidth="1"/>
    <col min="2570" max="2570" width="17.140625" style="1057" customWidth="1"/>
    <col min="2571" max="2571" width="50.5703125" style="1057" customWidth="1"/>
    <col min="2572" max="2572" width="28.7109375" style="1057" customWidth="1"/>
    <col min="2573" max="2573" width="25.140625" style="1057" customWidth="1"/>
    <col min="2574" max="2574" width="36.7109375" style="1057" customWidth="1"/>
    <col min="2575" max="2576" width="24.5703125" style="1057" customWidth="1"/>
    <col min="2577" max="2577" width="17.85546875" style="1057" customWidth="1"/>
    <col min="2578" max="2578" width="27.5703125" style="1057" bestFit="1" customWidth="1"/>
    <col min="2579" max="2579" width="37.28515625" style="1057" customWidth="1"/>
    <col min="2580" max="2580" width="48.42578125" style="1057" customWidth="1"/>
    <col min="2581" max="2581" width="32" style="1057" customWidth="1"/>
    <col min="2582" max="2582" width="32.7109375" style="1057" customWidth="1"/>
    <col min="2583" max="2583" width="18.5703125" style="1057" customWidth="1"/>
    <col min="2584" max="2584" width="16.7109375" style="1057" customWidth="1"/>
    <col min="2585" max="2585" width="10.42578125" style="1057" customWidth="1"/>
    <col min="2586" max="2586" width="10.5703125" style="1057" customWidth="1"/>
    <col min="2587" max="2587" width="9.28515625" style="1057" customWidth="1"/>
    <col min="2588" max="2588" width="10.140625" style="1057" customWidth="1"/>
    <col min="2589" max="2589" width="8.42578125" style="1057" customWidth="1"/>
    <col min="2590" max="2590" width="9.5703125" style="1057" customWidth="1"/>
    <col min="2591" max="2591" width="9.28515625" style="1057" customWidth="1"/>
    <col min="2592" max="2592" width="8.85546875" style="1057" customWidth="1"/>
    <col min="2593" max="2595" width="8" style="1057" customWidth="1"/>
    <col min="2596" max="2596" width="8.7109375" style="1057" customWidth="1"/>
    <col min="2597" max="2597" width="8.140625" style="1057" customWidth="1"/>
    <col min="2598" max="2598" width="10.5703125" style="1057" customWidth="1"/>
    <col min="2599" max="2599" width="9.85546875" style="1057" customWidth="1"/>
    <col min="2600" max="2600" width="13.140625" style="1057" customWidth="1"/>
    <col min="2601" max="2601" width="25.42578125" style="1057" customWidth="1"/>
    <col min="2602" max="2602" width="30.85546875" style="1057" customWidth="1"/>
    <col min="2603" max="2603" width="27.42578125" style="1057" customWidth="1"/>
    <col min="2604" max="2816" width="11.42578125" style="1057"/>
    <col min="2817" max="2817" width="13" style="1057" bestFit="1" customWidth="1"/>
    <col min="2818" max="2818" width="6.85546875" style="1057" customWidth="1"/>
    <col min="2819" max="2819" width="14.28515625" style="1057" customWidth="1"/>
    <col min="2820" max="2820" width="14" style="1057" customWidth="1"/>
    <col min="2821" max="2821" width="17.85546875" style="1057" customWidth="1"/>
    <col min="2822" max="2822" width="3.5703125" style="1057" customWidth="1"/>
    <col min="2823" max="2823" width="13.28515625" style="1057" customWidth="1"/>
    <col min="2824" max="2824" width="5.85546875" style="1057" customWidth="1"/>
    <col min="2825" max="2825" width="23.28515625" style="1057" customWidth="1"/>
    <col min="2826" max="2826" width="17.140625" style="1057" customWidth="1"/>
    <col min="2827" max="2827" width="50.5703125" style="1057" customWidth="1"/>
    <col min="2828" max="2828" width="28.7109375" style="1057" customWidth="1"/>
    <col min="2829" max="2829" width="25.140625" style="1057" customWidth="1"/>
    <col min="2830" max="2830" width="36.7109375" style="1057" customWidth="1"/>
    <col min="2831" max="2832" width="24.5703125" style="1057" customWidth="1"/>
    <col min="2833" max="2833" width="17.85546875" style="1057" customWidth="1"/>
    <col min="2834" max="2834" width="27.5703125" style="1057" bestFit="1" customWidth="1"/>
    <col min="2835" max="2835" width="37.28515625" style="1057" customWidth="1"/>
    <col min="2836" max="2836" width="48.42578125" style="1057" customWidth="1"/>
    <col min="2837" max="2837" width="32" style="1057" customWidth="1"/>
    <col min="2838" max="2838" width="32.7109375" style="1057" customWidth="1"/>
    <col min="2839" max="2839" width="18.5703125" style="1057" customWidth="1"/>
    <col min="2840" max="2840" width="16.7109375" style="1057" customWidth="1"/>
    <col min="2841" max="2841" width="10.42578125" style="1057" customWidth="1"/>
    <col min="2842" max="2842" width="10.5703125" style="1057" customWidth="1"/>
    <col min="2843" max="2843" width="9.28515625" style="1057" customWidth="1"/>
    <col min="2844" max="2844" width="10.140625" style="1057" customWidth="1"/>
    <col min="2845" max="2845" width="8.42578125" style="1057" customWidth="1"/>
    <col min="2846" max="2846" width="9.5703125" style="1057" customWidth="1"/>
    <col min="2847" max="2847" width="9.28515625" style="1057" customWidth="1"/>
    <col min="2848" max="2848" width="8.85546875" style="1057" customWidth="1"/>
    <col min="2849" max="2851" width="8" style="1057" customWidth="1"/>
    <col min="2852" max="2852" width="8.7109375" style="1057" customWidth="1"/>
    <col min="2853" max="2853" width="8.140625" style="1057" customWidth="1"/>
    <col min="2854" max="2854" width="10.5703125" style="1057" customWidth="1"/>
    <col min="2855" max="2855" width="9.85546875" style="1057" customWidth="1"/>
    <col min="2856" max="2856" width="13.140625" style="1057" customWidth="1"/>
    <col min="2857" max="2857" width="25.42578125" style="1057" customWidth="1"/>
    <col min="2858" max="2858" width="30.85546875" style="1057" customWidth="1"/>
    <col min="2859" max="2859" width="27.42578125" style="1057" customWidth="1"/>
    <col min="2860" max="3072" width="11.42578125" style="1057"/>
    <col min="3073" max="3073" width="13" style="1057" bestFit="1" customWidth="1"/>
    <col min="3074" max="3074" width="6.85546875" style="1057" customWidth="1"/>
    <col min="3075" max="3075" width="14.28515625" style="1057" customWidth="1"/>
    <col min="3076" max="3076" width="14" style="1057" customWidth="1"/>
    <col min="3077" max="3077" width="17.85546875" style="1057" customWidth="1"/>
    <col min="3078" max="3078" width="3.5703125" style="1057" customWidth="1"/>
    <col min="3079" max="3079" width="13.28515625" style="1057" customWidth="1"/>
    <col min="3080" max="3080" width="5.85546875" style="1057" customWidth="1"/>
    <col min="3081" max="3081" width="23.28515625" style="1057" customWidth="1"/>
    <col min="3082" max="3082" width="17.140625" style="1057" customWidth="1"/>
    <col min="3083" max="3083" width="50.5703125" style="1057" customWidth="1"/>
    <col min="3084" max="3084" width="28.7109375" style="1057" customWidth="1"/>
    <col min="3085" max="3085" width="25.140625" style="1057" customWidth="1"/>
    <col min="3086" max="3086" width="36.7109375" style="1057" customWidth="1"/>
    <col min="3087" max="3088" width="24.5703125" style="1057" customWidth="1"/>
    <col min="3089" max="3089" width="17.85546875" style="1057" customWidth="1"/>
    <col min="3090" max="3090" width="27.5703125" style="1057" bestFit="1" customWidth="1"/>
    <col min="3091" max="3091" width="37.28515625" style="1057" customWidth="1"/>
    <col min="3092" max="3092" width="48.42578125" style="1057" customWidth="1"/>
    <col min="3093" max="3093" width="32" style="1057" customWidth="1"/>
    <col min="3094" max="3094" width="32.7109375" style="1057" customWidth="1"/>
    <col min="3095" max="3095" width="18.5703125" style="1057" customWidth="1"/>
    <col min="3096" max="3096" width="16.7109375" style="1057" customWidth="1"/>
    <col min="3097" max="3097" width="10.42578125" style="1057" customWidth="1"/>
    <col min="3098" max="3098" width="10.5703125" style="1057" customWidth="1"/>
    <col min="3099" max="3099" width="9.28515625" style="1057" customWidth="1"/>
    <col min="3100" max="3100" width="10.140625" style="1057" customWidth="1"/>
    <col min="3101" max="3101" width="8.42578125" style="1057" customWidth="1"/>
    <col min="3102" max="3102" width="9.5703125" style="1057" customWidth="1"/>
    <col min="3103" max="3103" width="9.28515625" style="1057" customWidth="1"/>
    <col min="3104" max="3104" width="8.85546875" style="1057" customWidth="1"/>
    <col min="3105" max="3107" width="8" style="1057" customWidth="1"/>
    <col min="3108" max="3108" width="8.7109375" style="1057" customWidth="1"/>
    <col min="3109" max="3109" width="8.140625" style="1057" customWidth="1"/>
    <col min="3110" max="3110" width="10.5703125" style="1057" customWidth="1"/>
    <col min="3111" max="3111" width="9.85546875" style="1057" customWidth="1"/>
    <col min="3112" max="3112" width="13.140625" style="1057" customWidth="1"/>
    <col min="3113" max="3113" width="25.42578125" style="1057" customWidth="1"/>
    <col min="3114" max="3114" width="30.85546875" style="1057" customWidth="1"/>
    <col min="3115" max="3115" width="27.42578125" style="1057" customWidth="1"/>
    <col min="3116" max="3328" width="11.42578125" style="1057"/>
    <col min="3329" max="3329" width="13" style="1057" bestFit="1" customWidth="1"/>
    <col min="3330" max="3330" width="6.85546875" style="1057" customWidth="1"/>
    <col min="3331" max="3331" width="14.28515625" style="1057" customWidth="1"/>
    <col min="3332" max="3332" width="14" style="1057" customWidth="1"/>
    <col min="3333" max="3333" width="17.85546875" style="1057" customWidth="1"/>
    <col min="3334" max="3334" width="3.5703125" style="1057" customWidth="1"/>
    <col min="3335" max="3335" width="13.28515625" style="1057" customWidth="1"/>
    <col min="3336" max="3336" width="5.85546875" style="1057" customWidth="1"/>
    <col min="3337" max="3337" width="23.28515625" style="1057" customWidth="1"/>
    <col min="3338" max="3338" width="17.140625" style="1057" customWidth="1"/>
    <col min="3339" max="3339" width="50.5703125" style="1057" customWidth="1"/>
    <col min="3340" max="3340" width="28.7109375" style="1057" customWidth="1"/>
    <col min="3341" max="3341" width="25.140625" style="1057" customWidth="1"/>
    <col min="3342" max="3342" width="36.7109375" style="1057" customWidth="1"/>
    <col min="3343" max="3344" width="24.5703125" style="1057" customWidth="1"/>
    <col min="3345" max="3345" width="17.85546875" style="1057" customWidth="1"/>
    <col min="3346" max="3346" width="27.5703125" style="1057" bestFit="1" customWidth="1"/>
    <col min="3347" max="3347" width="37.28515625" style="1057" customWidth="1"/>
    <col min="3348" max="3348" width="48.42578125" style="1057" customWidth="1"/>
    <col min="3349" max="3349" width="32" style="1057" customWidth="1"/>
    <col min="3350" max="3350" width="32.7109375" style="1057" customWidth="1"/>
    <col min="3351" max="3351" width="18.5703125" style="1057" customWidth="1"/>
    <col min="3352" max="3352" width="16.7109375" style="1057" customWidth="1"/>
    <col min="3353" max="3353" width="10.42578125" style="1057" customWidth="1"/>
    <col min="3354" max="3354" width="10.5703125" style="1057" customWidth="1"/>
    <col min="3355" max="3355" width="9.28515625" style="1057" customWidth="1"/>
    <col min="3356" max="3356" width="10.140625" style="1057" customWidth="1"/>
    <col min="3357" max="3357" width="8.42578125" style="1057" customWidth="1"/>
    <col min="3358" max="3358" width="9.5703125" style="1057" customWidth="1"/>
    <col min="3359" max="3359" width="9.28515625" style="1057" customWidth="1"/>
    <col min="3360" max="3360" width="8.85546875" style="1057" customWidth="1"/>
    <col min="3361" max="3363" width="8" style="1057" customWidth="1"/>
    <col min="3364" max="3364" width="8.7109375" style="1057" customWidth="1"/>
    <col min="3365" max="3365" width="8.140625" style="1057" customWidth="1"/>
    <col min="3366" max="3366" width="10.5703125" style="1057" customWidth="1"/>
    <col min="3367" max="3367" width="9.85546875" style="1057" customWidth="1"/>
    <col min="3368" max="3368" width="13.140625" style="1057" customWidth="1"/>
    <col min="3369" max="3369" width="25.42578125" style="1057" customWidth="1"/>
    <col min="3370" max="3370" width="30.85546875" style="1057" customWidth="1"/>
    <col min="3371" max="3371" width="27.42578125" style="1057" customWidth="1"/>
    <col min="3372" max="3584" width="11.42578125" style="1057"/>
    <col min="3585" max="3585" width="13" style="1057" bestFit="1" customWidth="1"/>
    <col min="3586" max="3586" width="6.85546875" style="1057" customWidth="1"/>
    <col min="3587" max="3587" width="14.28515625" style="1057" customWidth="1"/>
    <col min="3588" max="3588" width="14" style="1057" customWidth="1"/>
    <col min="3589" max="3589" width="17.85546875" style="1057" customWidth="1"/>
    <col min="3590" max="3590" width="3.5703125" style="1057" customWidth="1"/>
    <col min="3591" max="3591" width="13.28515625" style="1057" customWidth="1"/>
    <col min="3592" max="3592" width="5.85546875" style="1057" customWidth="1"/>
    <col min="3593" max="3593" width="23.28515625" style="1057" customWidth="1"/>
    <col min="3594" max="3594" width="17.140625" style="1057" customWidth="1"/>
    <col min="3595" max="3595" width="50.5703125" style="1057" customWidth="1"/>
    <col min="3596" max="3596" width="28.7109375" style="1057" customWidth="1"/>
    <col min="3597" max="3597" width="25.140625" style="1057" customWidth="1"/>
    <col min="3598" max="3598" width="36.7109375" style="1057" customWidth="1"/>
    <col min="3599" max="3600" width="24.5703125" style="1057" customWidth="1"/>
    <col min="3601" max="3601" width="17.85546875" style="1057" customWidth="1"/>
    <col min="3602" max="3602" width="27.5703125" style="1057" bestFit="1" customWidth="1"/>
    <col min="3603" max="3603" width="37.28515625" style="1057" customWidth="1"/>
    <col min="3604" max="3604" width="48.42578125" style="1057" customWidth="1"/>
    <col min="3605" max="3605" width="32" style="1057" customWidth="1"/>
    <col min="3606" max="3606" width="32.7109375" style="1057" customWidth="1"/>
    <col min="3607" max="3607" width="18.5703125" style="1057" customWidth="1"/>
    <col min="3608" max="3608" width="16.7109375" style="1057" customWidth="1"/>
    <col min="3609" max="3609" width="10.42578125" style="1057" customWidth="1"/>
    <col min="3610" max="3610" width="10.5703125" style="1057" customWidth="1"/>
    <col min="3611" max="3611" width="9.28515625" style="1057" customWidth="1"/>
    <col min="3612" max="3612" width="10.140625" style="1057" customWidth="1"/>
    <col min="3613" max="3613" width="8.42578125" style="1057" customWidth="1"/>
    <col min="3614" max="3614" width="9.5703125" style="1057" customWidth="1"/>
    <col min="3615" max="3615" width="9.28515625" style="1057" customWidth="1"/>
    <col min="3616" max="3616" width="8.85546875" style="1057" customWidth="1"/>
    <col min="3617" max="3619" width="8" style="1057" customWidth="1"/>
    <col min="3620" max="3620" width="8.7109375" style="1057" customWidth="1"/>
    <col min="3621" max="3621" width="8.140625" style="1057" customWidth="1"/>
    <col min="3622" max="3622" width="10.5703125" style="1057" customWidth="1"/>
    <col min="3623" max="3623" width="9.85546875" style="1057" customWidth="1"/>
    <col min="3624" max="3624" width="13.140625" style="1057" customWidth="1"/>
    <col min="3625" max="3625" width="25.42578125" style="1057" customWidth="1"/>
    <col min="3626" max="3626" width="30.85546875" style="1057" customWidth="1"/>
    <col min="3627" max="3627" width="27.42578125" style="1057" customWidth="1"/>
    <col min="3628" max="3840" width="11.42578125" style="1057"/>
    <col min="3841" max="3841" width="13" style="1057" bestFit="1" customWidth="1"/>
    <col min="3842" max="3842" width="6.85546875" style="1057" customWidth="1"/>
    <col min="3843" max="3843" width="14.28515625" style="1057" customWidth="1"/>
    <col min="3844" max="3844" width="14" style="1057" customWidth="1"/>
    <col min="3845" max="3845" width="17.85546875" style="1057" customWidth="1"/>
    <col min="3846" max="3846" width="3.5703125" style="1057" customWidth="1"/>
    <col min="3847" max="3847" width="13.28515625" style="1057" customWidth="1"/>
    <col min="3848" max="3848" width="5.85546875" style="1057" customWidth="1"/>
    <col min="3849" max="3849" width="23.28515625" style="1057" customWidth="1"/>
    <col min="3850" max="3850" width="17.140625" style="1057" customWidth="1"/>
    <col min="3851" max="3851" width="50.5703125" style="1057" customWidth="1"/>
    <col min="3852" max="3852" width="28.7109375" style="1057" customWidth="1"/>
    <col min="3853" max="3853" width="25.140625" style="1057" customWidth="1"/>
    <col min="3854" max="3854" width="36.7109375" style="1057" customWidth="1"/>
    <col min="3855" max="3856" width="24.5703125" style="1057" customWidth="1"/>
    <col min="3857" max="3857" width="17.85546875" style="1057" customWidth="1"/>
    <col min="3858" max="3858" width="27.5703125" style="1057" bestFit="1" customWidth="1"/>
    <col min="3859" max="3859" width="37.28515625" style="1057" customWidth="1"/>
    <col min="3860" max="3860" width="48.42578125" style="1057" customWidth="1"/>
    <col min="3861" max="3861" width="32" style="1057" customWidth="1"/>
    <col min="3862" max="3862" width="32.7109375" style="1057" customWidth="1"/>
    <col min="3863" max="3863" width="18.5703125" style="1057" customWidth="1"/>
    <col min="3864" max="3864" width="16.7109375" style="1057" customWidth="1"/>
    <col min="3865" max="3865" width="10.42578125" style="1057" customWidth="1"/>
    <col min="3866" max="3866" width="10.5703125" style="1057" customWidth="1"/>
    <col min="3867" max="3867" width="9.28515625" style="1057" customWidth="1"/>
    <col min="3868" max="3868" width="10.140625" style="1057" customWidth="1"/>
    <col min="3869" max="3869" width="8.42578125" style="1057" customWidth="1"/>
    <col min="3870" max="3870" width="9.5703125" style="1057" customWidth="1"/>
    <col min="3871" max="3871" width="9.28515625" style="1057" customWidth="1"/>
    <col min="3872" max="3872" width="8.85546875" style="1057" customWidth="1"/>
    <col min="3873" max="3875" width="8" style="1057" customWidth="1"/>
    <col min="3876" max="3876" width="8.7109375" style="1057" customWidth="1"/>
    <col min="3877" max="3877" width="8.140625" style="1057" customWidth="1"/>
    <col min="3878" max="3878" width="10.5703125" style="1057" customWidth="1"/>
    <col min="3879" max="3879" width="9.85546875" style="1057" customWidth="1"/>
    <col min="3880" max="3880" width="13.140625" style="1057" customWidth="1"/>
    <col min="3881" max="3881" width="25.42578125" style="1057" customWidth="1"/>
    <col min="3882" max="3882" width="30.85546875" style="1057" customWidth="1"/>
    <col min="3883" max="3883" width="27.42578125" style="1057" customWidth="1"/>
    <col min="3884" max="4096" width="11.42578125" style="1057"/>
    <col min="4097" max="4097" width="13" style="1057" bestFit="1" customWidth="1"/>
    <col min="4098" max="4098" width="6.85546875" style="1057" customWidth="1"/>
    <col min="4099" max="4099" width="14.28515625" style="1057" customWidth="1"/>
    <col min="4100" max="4100" width="14" style="1057" customWidth="1"/>
    <col min="4101" max="4101" width="17.85546875" style="1057" customWidth="1"/>
    <col min="4102" max="4102" width="3.5703125" style="1057" customWidth="1"/>
    <col min="4103" max="4103" width="13.28515625" style="1057" customWidth="1"/>
    <col min="4104" max="4104" width="5.85546875" style="1057" customWidth="1"/>
    <col min="4105" max="4105" width="23.28515625" style="1057" customWidth="1"/>
    <col min="4106" max="4106" width="17.140625" style="1057" customWidth="1"/>
    <col min="4107" max="4107" width="50.5703125" style="1057" customWidth="1"/>
    <col min="4108" max="4108" width="28.7109375" style="1057" customWidth="1"/>
    <col min="4109" max="4109" width="25.140625" style="1057" customWidth="1"/>
    <col min="4110" max="4110" width="36.7109375" style="1057" customWidth="1"/>
    <col min="4111" max="4112" width="24.5703125" style="1057" customWidth="1"/>
    <col min="4113" max="4113" width="17.85546875" style="1057" customWidth="1"/>
    <col min="4114" max="4114" width="27.5703125" style="1057" bestFit="1" customWidth="1"/>
    <col min="4115" max="4115" width="37.28515625" style="1057" customWidth="1"/>
    <col min="4116" max="4116" width="48.42578125" style="1057" customWidth="1"/>
    <col min="4117" max="4117" width="32" style="1057" customWidth="1"/>
    <col min="4118" max="4118" width="32.7109375" style="1057" customWidth="1"/>
    <col min="4119" max="4119" width="18.5703125" style="1057" customWidth="1"/>
    <col min="4120" max="4120" width="16.7109375" style="1057" customWidth="1"/>
    <col min="4121" max="4121" width="10.42578125" style="1057" customWidth="1"/>
    <col min="4122" max="4122" width="10.5703125" style="1057" customWidth="1"/>
    <col min="4123" max="4123" width="9.28515625" style="1057" customWidth="1"/>
    <col min="4124" max="4124" width="10.140625" style="1057" customWidth="1"/>
    <col min="4125" max="4125" width="8.42578125" style="1057" customWidth="1"/>
    <col min="4126" max="4126" width="9.5703125" style="1057" customWidth="1"/>
    <col min="4127" max="4127" width="9.28515625" style="1057" customWidth="1"/>
    <col min="4128" max="4128" width="8.85546875" style="1057" customWidth="1"/>
    <col min="4129" max="4131" width="8" style="1057" customWidth="1"/>
    <col min="4132" max="4132" width="8.7109375" style="1057" customWidth="1"/>
    <col min="4133" max="4133" width="8.140625" style="1057" customWidth="1"/>
    <col min="4134" max="4134" width="10.5703125" style="1057" customWidth="1"/>
    <col min="4135" max="4135" width="9.85546875" style="1057" customWidth="1"/>
    <col min="4136" max="4136" width="13.140625" style="1057" customWidth="1"/>
    <col min="4137" max="4137" width="25.42578125" style="1057" customWidth="1"/>
    <col min="4138" max="4138" width="30.85546875" style="1057" customWidth="1"/>
    <col min="4139" max="4139" width="27.42578125" style="1057" customWidth="1"/>
    <col min="4140" max="4352" width="11.42578125" style="1057"/>
    <col min="4353" max="4353" width="13" style="1057" bestFit="1" customWidth="1"/>
    <col min="4354" max="4354" width="6.85546875" style="1057" customWidth="1"/>
    <col min="4355" max="4355" width="14.28515625" style="1057" customWidth="1"/>
    <col min="4356" max="4356" width="14" style="1057" customWidth="1"/>
    <col min="4357" max="4357" width="17.85546875" style="1057" customWidth="1"/>
    <col min="4358" max="4358" width="3.5703125" style="1057" customWidth="1"/>
    <col min="4359" max="4359" width="13.28515625" style="1057" customWidth="1"/>
    <col min="4360" max="4360" width="5.85546875" style="1057" customWidth="1"/>
    <col min="4361" max="4361" width="23.28515625" style="1057" customWidth="1"/>
    <col min="4362" max="4362" width="17.140625" style="1057" customWidth="1"/>
    <col min="4363" max="4363" width="50.5703125" style="1057" customWidth="1"/>
    <col min="4364" max="4364" width="28.7109375" style="1057" customWidth="1"/>
    <col min="4365" max="4365" width="25.140625" style="1057" customWidth="1"/>
    <col min="4366" max="4366" width="36.7109375" style="1057" customWidth="1"/>
    <col min="4367" max="4368" width="24.5703125" style="1057" customWidth="1"/>
    <col min="4369" max="4369" width="17.85546875" style="1057" customWidth="1"/>
    <col min="4370" max="4370" width="27.5703125" style="1057" bestFit="1" customWidth="1"/>
    <col min="4371" max="4371" width="37.28515625" style="1057" customWidth="1"/>
    <col min="4372" max="4372" width="48.42578125" style="1057" customWidth="1"/>
    <col min="4373" max="4373" width="32" style="1057" customWidth="1"/>
    <col min="4374" max="4374" width="32.7109375" style="1057" customWidth="1"/>
    <col min="4375" max="4375" width="18.5703125" style="1057" customWidth="1"/>
    <col min="4376" max="4376" width="16.7109375" style="1057" customWidth="1"/>
    <col min="4377" max="4377" width="10.42578125" style="1057" customWidth="1"/>
    <col min="4378" max="4378" width="10.5703125" style="1057" customWidth="1"/>
    <col min="4379" max="4379" width="9.28515625" style="1057" customWidth="1"/>
    <col min="4380" max="4380" width="10.140625" style="1057" customWidth="1"/>
    <col min="4381" max="4381" width="8.42578125" style="1057" customWidth="1"/>
    <col min="4382" max="4382" width="9.5703125" style="1057" customWidth="1"/>
    <col min="4383" max="4383" width="9.28515625" style="1057" customWidth="1"/>
    <col min="4384" max="4384" width="8.85546875" style="1057" customWidth="1"/>
    <col min="4385" max="4387" width="8" style="1057" customWidth="1"/>
    <col min="4388" max="4388" width="8.7109375" style="1057" customWidth="1"/>
    <col min="4389" max="4389" width="8.140625" style="1057" customWidth="1"/>
    <col min="4390" max="4390" width="10.5703125" style="1057" customWidth="1"/>
    <col min="4391" max="4391" width="9.85546875" style="1057" customWidth="1"/>
    <col min="4392" max="4392" width="13.140625" style="1057" customWidth="1"/>
    <col min="4393" max="4393" width="25.42578125" style="1057" customWidth="1"/>
    <col min="4394" max="4394" width="30.85546875" style="1057" customWidth="1"/>
    <col min="4395" max="4395" width="27.42578125" style="1057" customWidth="1"/>
    <col min="4396" max="4608" width="11.42578125" style="1057"/>
    <col min="4609" max="4609" width="13" style="1057" bestFit="1" customWidth="1"/>
    <col min="4610" max="4610" width="6.85546875" style="1057" customWidth="1"/>
    <col min="4611" max="4611" width="14.28515625" style="1057" customWidth="1"/>
    <col min="4612" max="4612" width="14" style="1057" customWidth="1"/>
    <col min="4613" max="4613" width="17.85546875" style="1057" customWidth="1"/>
    <col min="4614" max="4614" width="3.5703125" style="1057" customWidth="1"/>
    <col min="4615" max="4615" width="13.28515625" style="1057" customWidth="1"/>
    <col min="4616" max="4616" width="5.85546875" style="1057" customWidth="1"/>
    <col min="4617" max="4617" width="23.28515625" style="1057" customWidth="1"/>
    <col min="4618" max="4618" width="17.140625" style="1057" customWidth="1"/>
    <col min="4619" max="4619" width="50.5703125" style="1057" customWidth="1"/>
    <col min="4620" max="4620" width="28.7109375" style="1057" customWidth="1"/>
    <col min="4621" max="4621" width="25.140625" style="1057" customWidth="1"/>
    <col min="4622" max="4622" width="36.7109375" style="1057" customWidth="1"/>
    <col min="4623" max="4624" width="24.5703125" style="1057" customWidth="1"/>
    <col min="4625" max="4625" width="17.85546875" style="1057" customWidth="1"/>
    <col min="4626" max="4626" width="27.5703125" style="1057" bestFit="1" customWidth="1"/>
    <col min="4627" max="4627" width="37.28515625" style="1057" customWidth="1"/>
    <col min="4628" max="4628" width="48.42578125" style="1057" customWidth="1"/>
    <col min="4629" max="4629" width="32" style="1057" customWidth="1"/>
    <col min="4630" max="4630" width="32.7109375" style="1057" customWidth="1"/>
    <col min="4631" max="4631" width="18.5703125" style="1057" customWidth="1"/>
    <col min="4632" max="4632" width="16.7109375" style="1057" customWidth="1"/>
    <col min="4633" max="4633" width="10.42578125" style="1057" customWidth="1"/>
    <col min="4634" max="4634" width="10.5703125" style="1057" customWidth="1"/>
    <col min="4635" max="4635" width="9.28515625" style="1057" customWidth="1"/>
    <col min="4636" max="4636" width="10.140625" style="1057" customWidth="1"/>
    <col min="4637" max="4637" width="8.42578125" style="1057" customWidth="1"/>
    <col min="4638" max="4638" width="9.5703125" style="1057" customWidth="1"/>
    <col min="4639" max="4639" width="9.28515625" style="1057" customWidth="1"/>
    <col min="4640" max="4640" width="8.85546875" style="1057" customWidth="1"/>
    <col min="4641" max="4643" width="8" style="1057" customWidth="1"/>
    <col min="4644" max="4644" width="8.7109375" style="1057" customWidth="1"/>
    <col min="4645" max="4645" width="8.140625" style="1057" customWidth="1"/>
    <col min="4646" max="4646" width="10.5703125" style="1057" customWidth="1"/>
    <col min="4647" max="4647" width="9.85546875" style="1057" customWidth="1"/>
    <col min="4648" max="4648" width="13.140625" style="1057" customWidth="1"/>
    <col min="4649" max="4649" width="25.42578125" style="1057" customWidth="1"/>
    <col min="4650" max="4650" width="30.85546875" style="1057" customWidth="1"/>
    <col min="4651" max="4651" width="27.42578125" style="1057" customWidth="1"/>
    <col min="4652" max="4864" width="11.42578125" style="1057"/>
    <col min="4865" max="4865" width="13" style="1057" bestFit="1" customWidth="1"/>
    <col min="4866" max="4866" width="6.85546875" style="1057" customWidth="1"/>
    <col min="4867" max="4867" width="14.28515625" style="1057" customWidth="1"/>
    <col min="4868" max="4868" width="14" style="1057" customWidth="1"/>
    <col min="4869" max="4869" width="17.85546875" style="1057" customWidth="1"/>
    <col min="4870" max="4870" width="3.5703125" style="1057" customWidth="1"/>
    <col min="4871" max="4871" width="13.28515625" style="1057" customWidth="1"/>
    <col min="4872" max="4872" width="5.85546875" style="1057" customWidth="1"/>
    <col min="4873" max="4873" width="23.28515625" style="1057" customWidth="1"/>
    <col min="4874" max="4874" width="17.140625" style="1057" customWidth="1"/>
    <col min="4875" max="4875" width="50.5703125" style="1057" customWidth="1"/>
    <col min="4876" max="4876" width="28.7109375" style="1057" customWidth="1"/>
    <col min="4877" max="4877" width="25.140625" style="1057" customWidth="1"/>
    <col min="4878" max="4878" width="36.7109375" style="1057" customWidth="1"/>
    <col min="4879" max="4880" width="24.5703125" style="1057" customWidth="1"/>
    <col min="4881" max="4881" width="17.85546875" style="1057" customWidth="1"/>
    <col min="4882" max="4882" width="27.5703125" style="1057" bestFit="1" customWidth="1"/>
    <col min="4883" max="4883" width="37.28515625" style="1057" customWidth="1"/>
    <col min="4884" max="4884" width="48.42578125" style="1057" customWidth="1"/>
    <col min="4885" max="4885" width="32" style="1057" customWidth="1"/>
    <col min="4886" max="4886" width="32.7109375" style="1057" customWidth="1"/>
    <col min="4887" max="4887" width="18.5703125" style="1057" customWidth="1"/>
    <col min="4888" max="4888" width="16.7109375" style="1057" customWidth="1"/>
    <col min="4889" max="4889" width="10.42578125" style="1057" customWidth="1"/>
    <col min="4890" max="4890" width="10.5703125" style="1057" customWidth="1"/>
    <col min="4891" max="4891" width="9.28515625" style="1057" customWidth="1"/>
    <col min="4892" max="4892" width="10.140625" style="1057" customWidth="1"/>
    <col min="4893" max="4893" width="8.42578125" style="1057" customWidth="1"/>
    <col min="4894" max="4894" width="9.5703125" style="1057" customWidth="1"/>
    <col min="4895" max="4895" width="9.28515625" style="1057" customWidth="1"/>
    <col min="4896" max="4896" width="8.85546875" style="1057" customWidth="1"/>
    <col min="4897" max="4899" width="8" style="1057" customWidth="1"/>
    <col min="4900" max="4900" width="8.7109375" style="1057" customWidth="1"/>
    <col min="4901" max="4901" width="8.140625" style="1057" customWidth="1"/>
    <col min="4902" max="4902" width="10.5703125" style="1057" customWidth="1"/>
    <col min="4903" max="4903" width="9.85546875" style="1057" customWidth="1"/>
    <col min="4904" max="4904" width="13.140625" style="1057" customWidth="1"/>
    <col min="4905" max="4905" width="25.42578125" style="1057" customWidth="1"/>
    <col min="4906" max="4906" width="30.85546875" style="1057" customWidth="1"/>
    <col min="4907" max="4907" width="27.42578125" style="1057" customWidth="1"/>
    <col min="4908" max="5120" width="11.42578125" style="1057"/>
    <col min="5121" max="5121" width="13" style="1057" bestFit="1" customWidth="1"/>
    <col min="5122" max="5122" width="6.85546875" style="1057" customWidth="1"/>
    <col min="5123" max="5123" width="14.28515625" style="1057" customWidth="1"/>
    <col min="5124" max="5124" width="14" style="1057" customWidth="1"/>
    <col min="5125" max="5125" width="17.85546875" style="1057" customWidth="1"/>
    <col min="5126" max="5126" width="3.5703125" style="1057" customWidth="1"/>
    <col min="5127" max="5127" width="13.28515625" style="1057" customWidth="1"/>
    <col min="5128" max="5128" width="5.85546875" style="1057" customWidth="1"/>
    <col min="5129" max="5129" width="23.28515625" style="1057" customWidth="1"/>
    <col min="5130" max="5130" width="17.140625" style="1057" customWidth="1"/>
    <col min="5131" max="5131" width="50.5703125" style="1057" customWidth="1"/>
    <col min="5132" max="5132" width="28.7109375" style="1057" customWidth="1"/>
    <col min="5133" max="5133" width="25.140625" style="1057" customWidth="1"/>
    <col min="5134" max="5134" width="36.7109375" style="1057" customWidth="1"/>
    <col min="5135" max="5136" width="24.5703125" style="1057" customWidth="1"/>
    <col min="5137" max="5137" width="17.85546875" style="1057" customWidth="1"/>
    <col min="5138" max="5138" width="27.5703125" style="1057" bestFit="1" customWidth="1"/>
    <col min="5139" max="5139" width="37.28515625" style="1057" customWidth="1"/>
    <col min="5140" max="5140" width="48.42578125" style="1057" customWidth="1"/>
    <col min="5141" max="5141" width="32" style="1057" customWidth="1"/>
    <col min="5142" max="5142" width="32.7109375" style="1057" customWidth="1"/>
    <col min="5143" max="5143" width="18.5703125" style="1057" customWidth="1"/>
    <col min="5144" max="5144" width="16.7109375" style="1057" customWidth="1"/>
    <col min="5145" max="5145" width="10.42578125" style="1057" customWidth="1"/>
    <col min="5146" max="5146" width="10.5703125" style="1057" customWidth="1"/>
    <col min="5147" max="5147" width="9.28515625" style="1057" customWidth="1"/>
    <col min="5148" max="5148" width="10.140625" style="1057" customWidth="1"/>
    <col min="5149" max="5149" width="8.42578125" style="1057" customWidth="1"/>
    <col min="5150" max="5150" width="9.5703125" style="1057" customWidth="1"/>
    <col min="5151" max="5151" width="9.28515625" style="1057" customWidth="1"/>
    <col min="5152" max="5152" width="8.85546875" style="1057" customWidth="1"/>
    <col min="5153" max="5155" width="8" style="1057" customWidth="1"/>
    <col min="5156" max="5156" width="8.7109375" style="1057" customWidth="1"/>
    <col min="5157" max="5157" width="8.140625" style="1057" customWidth="1"/>
    <col min="5158" max="5158" width="10.5703125" style="1057" customWidth="1"/>
    <col min="5159" max="5159" width="9.85546875" style="1057" customWidth="1"/>
    <col min="5160" max="5160" width="13.140625" style="1057" customWidth="1"/>
    <col min="5161" max="5161" width="25.42578125" style="1057" customWidth="1"/>
    <col min="5162" max="5162" width="30.85546875" style="1057" customWidth="1"/>
    <col min="5163" max="5163" width="27.42578125" style="1057" customWidth="1"/>
    <col min="5164" max="5376" width="11.42578125" style="1057"/>
    <col min="5377" max="5377" width="13" style="1057" bestFit="1" customWidth="1"/>
    <col min="5378" max="5378" width="6.85546875" style="1057" customWidth="1"/>
    <col min="5379" max="5379" width="14.28515625" style="1057" customWidth="1"/>
    <col min="5380" max="5380" width="14" style="1057" customWidth="1"/>
    <col min="5381" max="5381" width="17.85546875" style="1057" customWidth="1"/>
    <col min="5382" max="5382" width="3.5703125" style="1057" customWidth="1"/>
    <col min="5383" max="5383" width="13.28515625" style="1057" customWidth="1"/>
    <col min="5384" max="5384" width="5.85546875" style="1057" customWidth="1"/>
    <col min="5385" max="5385" width="23.28515625" style="1057" customWidth="1"/>
    <col min="5386" max="5386" width="17.140625" style="1057" customWidth="1"/>
    <col min="5387" max="5387" width="50.5703125" style="1057" customWidth="1"/>
    <col min="5388" max="5388" width="28.7109375" style="1057" customWidth="1"/>
    <col min="5389" max="5389" width="25.140625" style="1057" customWidth="1"/>
    <col min="5390" max="5390" width="36.7109375" style="1057" customWidth="1"/>
    <col min="5391" max="5392" width="24.5703125" style="1057" customWidth="1"/>
    <col min="5393" max="5393" width="17.85546875" style="1057" customWidth="1"/>
    <col min="5394" max="5394" width="27.5703125" style="1057" bestFit="1" customWidth="1"/>
    <col min="5395" max="5395" width="37.28515625" style="1057" customWidth="1"/>
    <col min="5396" max="5396" width="48.42578125" style="1057" customWidth="1"/>
    <col min="5397" max="5397" width="32" style="1057" customWidth="1"/>
    <col min="5398" max="5398" width="32.7109375" style="1057" customWidth="1"/>
    <col min="5399" max="5399" width="18.5703125" style="1057" customWidth="1"/>
    <col min="5400" max="5400" width="16.7109375" style="1057" customWidth="1"/>
    <col min="5401" max="5401" width="10.42578125" style="1057" customWidth="1"/>
    <col min="5402" max="5402" width="10.5703125" style="1057" customWidth="1"/>
    <col min="5403" max="5403" width="9.28515625" style="1057" customWidth="1"/>
    <col min="5404" max="5404" width="10.140625" style="1057" customWidth="1"/>
    <col min="5405" max="5405" width="8.42578125" style="1057" customWidth="1"/>
    <col min="5406" max="5406" width="9.5703125" style="1057" customWidth="1"/>
    <col min="5407" max="5407" width="9.28515625" style="1057" customWidth="1"/>
    <col min="5408" max="5408" width="8.85546875" style="1057" customWidth="1"/>
    <col min="5409" max="5411" width="8" style="1057" customWidth="1"/>
    <col min="5412" max="5412" width="8.7109375" style="1057" customWidth="1"/>
    <col min="5413" max="5413" width="8.140625" style="1057" customWidth="1"/>
    <col min="5414" max="5414" width="10.5703125" style="1057" customWidth="1"/>
    <col min="5415" max="5415" width="9.85546875" style="1057" customWidth="1"/>
    <col min="5416" max="5416" width="13.140625" style="1057" customWidth="1"/>
    <col min="5417" max="5417" width="25.42578125" style="1057" customWidth="1"/>
    <col min="5418" max="5418" width="30.85546875" style="1057" customWidth="1"/>
    <col min="5419" max="5419" width="27.42578125" style="1057" customWidth="1"/>
    <col min="5420" max="5632" width="11.42578125" style="1057"/>
    <col min="5633" max="5633" width="13" style="1057" bestFit="1" customWidth="1"/>
    <col min="5634" max="5634" width="6.85546875" style="1057" customWidth="1"/>
    <col min="5635" max="5635" width="14.28515625" style="1057" customWidth="1"/>
    <col min="5636" max="5636" width="14" style="1057" customWidth="1"/>
    <col min="5637" max="5637" width="17.85546875" style="1057" customWidth="1"/>
    <col min="5638" max="5638" width="3.5703125" style="1057" customWidth="1"/>
    <col min="5639" max="5639" width="13.28515625" style="1057" customWidth="1"/>
    <col min="5640" max="5640" width="5.85546875" style="1057" customWidth="1"/>
    <col min="5641" max="5641" width="23.28515625" style="1057" customWidth="1"/>
    <col min="5642" max="5642" width="17.140625" style="1057" customWidth="1"/>
    <col min="5643" max="5643" width="50.5703125" style="1057" customWidth="1"/>
    <col min="5644" max="5644" width="28.7109375" style="1057" customWidth="1"/>
    <col min="5645" max="5645" width="25.140625" style="1057" customWidth="1"/>
    <col min="5646" max="5646" width="36.7109375" style="1057" customWidth="1"/>
    <col min="5647" max="5648" width="24.5703125" style="1057" customWidth="1"/>
    <col min="5649" max="5649" width="17.85546875" style="1057" customWidth="1"/>
    <col min="5650" max="5650" width="27.5703125" style="1057" bestFit="1" customWidth="1"/>
    <col min="5651" max="5651" width="37.28515625" style="1057" customWidth="1"/>
    <col min="5652" max="5652" width="48.42578125" style="1057" customWidth="1"/>
    <col min="5653" max="5653" width="32" style="1057" customWidth="1"/>
    <col min="5654" max="5654" width="32.7109375" style="1057" customWidth="1"/>
    <col min="5655" max="5655" width="18.5703125" style="1057" customWidth="1"/>
    <col min="5656" max="5656" width="16.7109375" style="1057" customWidth="1"/>
    <col min="5657" max="5657" width="10.42578125" style="1057" customWidth="1"/>
    <col min="5658" max="5658" width="10.5703125" style="1057" customWidth="1"/>
    <col min="5659" max="5659" width="9.28515625" style="1057" customWidth="1"/>
    <col min="5660" max="5660" width="10.140625" style="1057" customWidth="1"/>
    <col min="5661" max="5661" width="8.42578125" style="1057" customWidth="1"/>
    <col min="5662" max="5662" width="9.5703125" style="1057" customWidth="1"/>
    <col min="5663" max="5663" width="9.28515625" style="1057" customWidth="1"/>
    <col min="5664" max="5664" width="8.85546875" style="1057" customWidth="1"/>
    <col min="5665" max="5667" width="8" style="1057" customWidth="1"/>
    <col min="5668" max="5668" width="8.7109375" style="1057" customWidth="1"/>
    <col min="5669" max="5669" width="8.140625" style="1057" customWidth="1"/>
    <col min="5670" max="5670" width="10.5703125" style="1057" customWidth="1"/>
    <col min="5671" max="5671" width="9.85546875" style="1057" customWidth="1"/>
    <col min="5672" max="5672" width="13.140625" style="1057" customWidth="1"/>
    <col min="5673" max="5673" width="25.42578125" style="1057" customWidth="1"/>
    <col min="5674" max="5674" width="30.85546875" style="1057" customWidth="1"/>
    <col min="5675" max="5675" width="27.42578125" style="1057" customWidth="1"/>
    <col min="5676" max="5888" width="11.42578125" style="1057"/>
    <col min="5889" max="5889" width="13" style="1057" bestFit="1" customWidth="1"/>
    <col min="5890" max="5890" width="6.85546875" style="1057" customWidth="1"/>
    <col min="5891" max="5891" width="14.28515625" style="1057" customWidth="1"/>
    <col min="5892" max="5892" width="14" style="1057" customWidth="1"/>
    <col min="5893" max="5893" width="17.85546875" style="1057" customWidth="1"/>
    <col min="5894" max="5894" width="3.5703125" style="1057" customWidth="1"/>
    <col min="5895" max="5895" width="13.28515625" style="1057" customWidth="1"/>
    <col min="5896" max="5896" width="5.85546875" style="1057" customWidth="1"/>
    <col min="5897" max="5897" width="23.28515625" style="1057" customWidth="1"/>
    <col min="5898" max="5898" width="17.140625" style="1057" customWidth="1"/>
    <col min="5899" max="5899" width="50.5703125" style="1057" customWidth="1"/>
    <col min="5900" max="5900" width="28.7109375" style="1057" customWidth="1"/>
    <col min="5901" max="5901" width="25.140625" style="1057" customWidth="1"/>
    <col min="5902" max="5902" width="36.7109375" style="1057" customWidth="1"/>
    <col min="5903" max="5904" width="24.5703125" style="1057" customWidth="1"/>
    <col min="5905" max="5905" width="17.85546875" style="1057" customWidth="1"/>
    <col min="5906" max="5906" width="27.5703125" style="1057" bestFit="1" customWidth="1"/>
    <col min="5907" max="5907" width="37.28515625" style="1057" customWidth="1"/>
    <col min="5908" max="5908" width="48.42578125" style="1057" customWidth="1"/>
    <col min="5909" max="5909" width="32" style="1057" customWidth="1"/>
    <col min="5910" max="5910" width="32.7109375" style="1057" customWidth="1"/>
    <col min="5911" max="5911" width="18.5703125" style="1057" customWidth="1"/>
    <col min="5912" max="5912" width="16.7109375" style="1057" customWidth="1"/>
    <col min="5913" max="5913" width="10.42578125" style="1057" customWidth="1"/>
    <col min="5914" max="5914" width="10.5703125" style="1057" customWidth="1"/>
    <col min="5915" max="5915" width="9.28515625" style="1057" customWidth="1"/>
    <col min="5916" max="5916" width="10.140625" style="1057" customWidth="1"/>
    <col min="5917" max="5917" width="8.42578125" style="1057" customWidth="1"/>
    <col min="5918" max="5918" width="9.5703125" style="1057" customWidth="1"/>
    <col min="5919" max="5919" width="9.28515625" style="1057" customWidth="1"/>
    <col min="5920" max="5920" width="8.85546875" style="1057" customWidth="1"/>
    <col min="5921" max="5923" width="8" style="1057" customWidth="1"/>
    <col min="5924" max="5924" width="8.7109375" style="1057" customWidth="1"/>
    <col min="5925" max="5925" width="8.140625" style="1057" customWidth="1"/>
    <col min="5926" max="5926" width="10.5703125" style="1057" customWidth="1"/>
    <col min="5927" max="5927" width="9.85546875" style="1057" customWidth="1"/>
    <col min="5928" max="5928" width="13.140625" style="1057" customWidth="1"/>
    <col min="5929" max="5929" width="25.42578125" style="1057" customWidth="1"/>
    <col min="5930" max="5930" width="30.85546875" style="1057" customWidth="1"/>
    <col min="5931" max="5931" width="27.42578125" style="1057" customWidth="1"/>
    <col min="5932" max="6144" width="11.42578125" style="1057"/>
    <col min="6145" max="6145" width="13" style="1057" bestFit="1" customWidth="1"/>
    <col min="6146" max="6146" width="6.85546875" style="1057" customWidth="1"/>
    <col min="6147" max="6147" width="14.28515625" style="1057" customWidth="1"/>
    <col min="6148" max="6148" width="14" style="1057" customWidth="1"/>
    <col min="6149" max="6149" width="17.85546875" style="1057" customWidth="1"/>
    <col min="6150" max="6150" width="3.5703125" style="1057" customWidth="1"/>
    <col min="6151" max="6151" width="13.28515625" style="1057" customWidth="1"/>
    <col min="6152" max="6152" width="5.85546875" style="1057" customWidth="1"/>
    <col min="6153" max="6153" width="23.28515625" style="1057" customWidth="1"/>
    <col min="6154" max="6154" width="17.140625" style="1057" customWidth="1"/>
    <col min="6155" max="6155" width="50.5703125" style="1057" customWidth="1"/>
    <col min="6156" max="6156" width="28.7109375" style="1057" customWidth="1"/>
    <col min="6157" max="6157" width="25.140625" style="1057" customWidth="1"/>
    <col min="6158" max="6158" width="36.7109375" style="1057" customWidth="1"/>
    <col min="6159" max="6160" width="24.5703125" style="1057" customWidth="1"/>
    <col min="6161" max="6161" width="17.85546875" style="1057" customWidth="1"/>
    <col min="6162" max="6162" width="27.5703125" style="1057" bestFit="1" customWidth="1"/>
    <col min="6163" max="6163" width="37.28515625" style="1057" customWidth="1"/>
    <col min="6164" max="6164" width="48.42578125" style="1057" customWidth="1"/>
    <col min="6165" max="6165" width="32" style="1057" customWidth="1"/>
    <col min="6166" max="6166" width="32.7109375" style="1057" customWidth="1"/>
    <col min="6167" max="6167" width="18.5703125" style="1057" customWidth="1"/>
    <col min="6168" max="6168" width="16.7109375" style="1057" customWidth="1"/>
    <col min="6169" max="6169" width="10.42578125" style="1057" customWidth="1"/>
    <col min="6170" max="6170" width="10.5703125" style="1057" customWidth="1"/>
    <col min="6171" max="6171" width="9.28515625" style="1057" customWidth="1"/>
    <col min="6172" max="6172" width="10.140625" style="1057" customWidth="1"/>
    <col min="6173" max="6173" width="8.42578125" style="1057" customWidth="1"/>
    <col min="6174" max="6174" width="9.5703125" style="1057" customWidth="1"/>
    <col min="6175" max="6175" width="9.28515625" style="1057" customWidth="1"/>
    <col min="6176" max="6176" width="8.85546875" style="1057" customWidth="1"/>
    <col min="6177" max="6179" width="8" style="1057" customWidth="1"/>
    <col min="6180" max="6180" width="8.7109375" style="1057" customWidth="1"/>
    <col min="6181" max="6181" width="8.140625" style="1057" customWidth="1"/>
    <col min="6182" max="6182" width="10.5703125" style="1057" customWidth="1"/>
    <col min="6183" max="6183" width="9.85546875" style="1057" customWidth="1"/>
    <col min="6184" max="6184" width="13.140625" style="1057" customWidth="1"/>
    <col min="6185" max="6185" width="25.42578125" style="1057" customWidth="1"/>
    <col min="6186" max="6186" width="30.85546875" style="1057" customWidth="1"/>
    <col min="6187" max="6187" width="27.42578125" style="1057" customWidth="1"/>
    <col min="6188" max="6400" width="11.42578125" style="1057"/>
    <col min="6401" max="6401" width="13" style="1057" bestFit="1" customWidth="1"/>
    <col min="6402" max="6402" width="6.85546875" style="1057" customWidth="1"/>
    <col min="6403" max="6403" width="14.28515625" style="1057" customWidth="1"/>
    <col min="6404" max="6404" width="14" style="1057" customWidth="1"/>
    <col min="6405" max="6405" width="17.85546875" style="1057" customWidth="1"/>
    <col min="6406" max="6406" width="3.5703125" style="1057" customWidth="1"/>
    <col min="6407" max="6407" width="13.28515625" style="1057" customWidth="1"/>
    <col min="6408" max="6408" width="5.85546875" style="1057" customWidth="1"/>
    <col min="6409" max="6409" width="23.28515625" style="1057" customWidth="1"/>
    <col min="6410" max="6410" width="17.140625" style="1057" customWidth="1"/>
    <col min="6411" max="6411" width="50.5703125" style="1057" customWidth="1"/>
    <col min="6412" max="6412" width="28.7109375" style="1057" customWidth="1"/>
    <col min="6413" max="6413" width="25.140625" style="1057" customWidth="1"/>
    <col min="6414" max="6414" width="36.7109375" style="1057" customWidth="1"/>
    <col min="6415" max="6416" width="24.5703125" style="1057" customWidth="1"/>
    <col min="6417" max="6417" width="17.85546875" style="1057" customWidth="1"/>
    <col min="6418" max="6418" width="27.5703125" style="1057" bestFit="1" customWidth="1"/>
    <col min="6419" max="6419" width="37.28515625" style="1057" customWidth="1"/>
    <col min="6420" max="6420" width="48.42578125" style="1057" customWidth="1"/>
    <col min="6421" max="6421" width="32" style="1057" customWidth="1"/>
    <col min="6422" max="6422" width="32.7109375" style="1057" customWidth="1"/>
    <col min="6423" max="6423" width="18.5703125" style="1057" customWidth="1"/>
    <col min="6424" max="6424" width="16.7109375" style="1057" customWidth="1"/>
    <col min="6425" max="6425" width="10.42578125" style="1057" customWidth="1"/>
    <col min="6426" max="6426" width="10.5703125" style="1057" customWidth="1"/>
    <col min="6427" max="6427" width="9.28515625" style="1057" customWidth="1"/>
    <col min="6428" max="6428" width="10.140625" style="1057" customWidth="1"/>
    <col min="6429" max="6429" width="8.42578125" style="1057" customWidth="1"/>
    <col min="6430" max="6430" width="9.5703125" style="1057" customWidth="1"/>
    <col min="6431" max="6431" width="9.28515625" style="1057" customWidth="1"/>
    <col min="6432" max="6432" width="8.85546875" style="1057" customWidth="1"/>
    <col min="6433" max="6435" width="8" style="1057" customWidth="1"/>
    <col min="6436" max="6436" width="8.7109375" style="1057" customWidth="1"/>
    <col min="6437" max="6437" width="8.140625" style="1057" customWidth="1"/>
    <col min="6438" max="6438" width="10.5703125" style="1057" customWidth="1"/>
    <col min="6439" max="6439" width="9.85546875" style="1057" customWidth="1"/>
    <col min="6440" max="6440" width="13.140625" style="1057" customWidth="1"/>
    <col min="6441" max="6441" width="25.42578125" style="1057" customWidth="1"/>
    <col min="6442" max="6442" width="30.85546875" style="1057" customWidth="1"/>
    <col min="6443" max="6443" width="27.42578125" style="1057" customWidth="1"/>
    <col min="6444" max="6656" width="11.42578125" style="1057"/>
    <col min="6657" max="6657" width="13" style="1057" bestFit="1" customWidth="1"/>
    <col min="6658" max="6658" width="6.85546875" style="1057" customWidth="1"/>
    <col min="6659" max="6659" width="14.28515625" style="1057" customWidth="1"/>
    <col min="6660" max="6660" width="14" style="1057" customWidth="1"/>
    <col min="6661" max="6661" width="17.85546875" style="1057" customWidth="1"/>
    <col min="6662" max="6662" width="3.5703125" style="1057" customWidth="1"/>
    <col min="6663" max="6663" width="13.28515625" style="1057" customWidth="1"/>
    <col min="6664" max="6664" width="5.85546875" style="1057" customWidth="1"/>
    <col min="6665" max="6665" width="23.28515625" style="1057" customWidth="1"/>
    <col min="6666" max="6666" width="17.140625" style="1057" customWidth="1"/>
    <col min="6667" max="6667" width="50.5703125" style="1057" customWidth="1"/>
    <col min="6668" max="6668" width="28.7109375" style="1057" customWidth="1"/>
    <col min="6669" max="6669" width="25.140625" style="1057" customWidth="1"/>
    <col min="6670" max="6670" width="36.7109375" style="1057" customWidth="1"/>
    <col min="6671" max="6672" width="24.5703125" style="1057" customWidth="1"/>
    <col min="6673" max="6673" width="17.85546875" style="1057" customWidth="1"/>
    <col min="6674" max="6674" width="27.5703125" style="1057" bestFit="1" customWidth="1"/>
    <col min="6675" max="6675" width="37.28515625" style="1057" customWidth="1"/>
    <col min="6676" max="6676" width="48.42578125" style="1057" customWidth="1"/>
    <col min="6677" max="6677" width="32" style="1057" customWidth="1"/>
    <col min="6678" max="6678" width="32.7109375" style="1057" customWidth="1"/>
    <col min="6679" max="6679" width="18.5703125" style="1057" customWidth="1"/>
    <col min="6680" max="6680" width="16.7109375" style="1057" customWidth="1"/>
    <col min="6681" max="6681" width="10.42578125" style="1057" customWidth="1"/>
    <col min="6682" max="6682" width="10.5703125" style="1057" customWidth="1"/>
    <col min="6683" max="6683" width="9.28515625" style="1057" customWidth="1"/>
    <col min="6684" max="6684" width="10.140625" style="1057" customWidth="1"/>
    <col min="6685" max="6685" width="8.42578125" style="1057" customWidth="1"/>
    <col min="6686" max="6686" width="9.5703125" style="1057" customWidth="1"/>
    <col min="6687" max="6687" width="9.28515625" style="1057" customWidth="1"/>
    <col min="6688" max="6688" width="8.85546875" style="1057" customWidth="1"/>
    <col min="6689" max="6691" width="8" style="1057" customWidth="1"/>
    <col min="6692" max="6692" width="8.7109375" style="1057" customWidth="1"/>
    <col min="6693" max="6693" width="8.140625" style="1057" customWidth="1"/>
    <col min="6694" max="6694" width="10.5703125" style="1057" customWidth="1"/>
    <col min="6695" max="6695" width="9.85546875" style="1057" customWidth="1"/>
    <col min="6696" max="6696" width="13.140625" style="1057" customWidth="1"/>
    <col min="6697" max="6697" width="25.42578125" style="1057" customWidth="1"/>
    <col min="6698" max="6698" width="30.85546875" style="1057" customWidth="1"/>
    <col min="6699" max="6699" width="27.42578125" style="1057" customWidth="1"/>
    <col min="6700" max="6912" width="11.42578125" style="1057"/>
    <col min="6913" max="6913" width="13" style="1057" bestFit="1" customWidth="1"/>
    <col min="6914" max="6914" width="6.85546875" style="1057" customWidth="1"/>
    <col min="6915" max="6915" width="14.28515625" style="1057" customWidth="1"/>
    <col min="6916" max="6916" width="14" style="1057" customWidth="1"/>
    <col min="6917" max="6917" width="17.85546875" style="1057" customWidth="1"/>
    <col min="6918" max="6918" width="3.5703125" style="1057" customWidth="1"/>
    <col min="6919" max="6919" width="13.28515625" style="1057" customWidth="1"/>
    <col min="6920" max="6920" width="5.85546875" style="1057" customWidth="1"/>
    <col min="6921" max="6921" width="23.28515625" style="1057" customWidth="1"/>
    <col min="6922" max="6922" width="17.140625" style="1057" customWidth="1"/>
    <col min="6923" max="6923" width="50.5703125" style="1057" customWidth="1"/>
    <col min="6924" max="6924" width="28.7109375" style="1057" customWidth="1"/>
    <col min="6925" max="6925" width="25.140625" style="1057" customWidth="1"/>
    <col min="6926" max="6926" width="36.7109375" style="1057" customWidth="1"/>
    <col min="6927" max="6928" width="24.5703125" style="1057" customWidth="1"/>
    <col min="6929" max="6929" width="17.85546875" style="1057" customWidth="1"/>
    <col min="6930" max="6930" width="27.5703125" style="1057" bestFit="1" customWidth="1"/>
    <col min="6931" max="6931" width="37.28515625" style="1057" customWidth="1"/>
    <col min="6932" max="6932" width="48.42578125" style="1057" customWidth="1"/>
    <col min="6933" max="6933" width="32" style="1057" customWidth="1"/>
    <col min="6934" max="6934" width="32.7109375" style="1057" customWidth="1"/>
    <col min="6935" max="6935" width="18.5703125" style="1057" customWidth="1"/>
    <col min="6936" max="6936" width="16.7109375" style="1057" customWidth="1"/>
    <col min="6937" max="6937" width="10.42578125" style="1057" customWidth="1"/>
    <col min="6938" max="6938" width="10.5703125" style="1057" customWidth="1"/>
    <col min="6939" max="6939" width="9.28515625" style="1057" customWidth="1"/>
    <col min="6940" max="6940" width="10.140625" style="1057" customWidth="1"/>
    <col min="6941" max="6941" width="8.42578125" style="1057" customWidth="1"/>
    <col min="6942" max="6942" width="9.5703125" style="1057" customWidth="1"/>
    <col min="6943" max="6943" width="9.28515625" style="1057" customWidth="1"/>
    <col min="6944" max="6944" width="8.85546875" style="1057" customWidth="1"/>
    <col min="6945" max="6947" width="8" style="1057" customWidth="1"/>
    <col min="6948" max="6948" width="8.7109375" style="1057" customWidth="1"/>
    <col min="6949" max="6949" width="8.140625" style="1057" customWidth="1"/>
    <col min="6950" max="6950" width="10.5703125" style="1057" customWidth="1"/>
    <col min="6951" max="6951" width="9.85546875" style="1057" customWidth="1"/>
    <col min="6952" max="6952" width="13.140625" style="1057" customWidth="1"/>
    <col min="6953" max="6953" width="25.42578125" style="1057" customWidth="1"/>
    <col min="6954" max="6954" width="30.85546875" style="1057" customWidth="1"/>
    <col min="6955" max="6955" width="27.42578125" style="1057" customWidth="1"/>
    <col min="6956" max="7168" width="11.42578125" style="1057"/>
    <col min="7169" max="7169" width="13" style="1057" bestFit="1" customWidth="1"/>
    <col min="7170" max="7170" width="6.85546875" style="1057" customWidth="1"/>
    <col min="7171" max="7171" width="14.28515625" style="1057" customWidth="1"/>
    <col min="7172" max="7172" width="14" style="1057" customWidth="1"/>
    <col min="7173" max="7173" width="17.85546875" style="1057" customWidth="1"/>
    <col min="7174" max="7174" width="3.5703125" style="1057" customWidth="1"/>
    <col min="7175" max="7175" width="13.28515625" style="1057" customWidth="1"/>
    <col min="7176" max="7176" width="5.85546875" style="1057" customWidth="1"/>
    <col min="7177" max="7177" width="23.28515625" style="1057" customWidth="1"/>
    <col min="7178" max="7178" width="17.140625" style="1057" customWidth="1"/>
    <col min="7179" max="7179" width="50.5703125" style="1057" customWidth="1"/>
    <col min="7180" max="7180" width="28.7109375" style="1057" customWidth="1"/>
    <col min="7181" max="7181" width="25.140625" style="1057" customWidth="1"/>
    <col min="7182" max="7182" width="36.7109375" style="1057" customWidth="1"/>
    <col min="7183" max="7184" width="24.5703125" style="1057" customWidth="1"/>
    <col min="7185" max="7185" width="17.85546875" style="1057" customWidth="1"/>
    <col min="7186" max="7186" width="27.5703125" style="1057" bestFit="1" customWidth="1"/>
    <col min="7187" max="7187" width="37.28515625" style="1057" customWidth="1"/>
    <col min="7188" max="7188" width="48.42578125" style="1057" customWidth="1"/>
    <col min="7189" max="7189" width="32" style="1057" customWidth="1"/>
    <col min="7190" max="7190" width="32.7109375" style="1057" customWidth="1"/>
    <col min="7191" max="7191" width="18.5703125" style="1057" customWidth="1"/>
    <col min="7192" max="7192" width="16.7109375" style="1057" customWidth="1"/>
    <col min="7193" max="7193" width="10.42578125" style="1057" customWidth="1"/>
    <col min="7194" max="7194" width="10.5703125" style="1057" customWidth="1"/>
    <col min="7195" max="7195" width="9.28515625" style="1057" customWidth="1"/>
    <col min="7196" max="7196" width="10.140625" style="1057" customWidth="1"/>
    <col min="7197" max="7197" width="8.42578125" style="1057" customWidth="1"/>
    <col min="7198" max="7198" width="9.5703125" style="1057" customWidth="1"/>
    <col min="7199" max="7199" width="9.28515625" style="1057" customWidth="1"/>
    <col min="7200" max="7200" width="8.85546875" style="1057" customWidth="1"/>
    <col min="7201" max="7203" width="8" style="1057" customWidth="1"/>
    <col min="7204" max="7204" width="8.7109375" style="1057" customWidth="1"/>
    <col min="7205" max="7205" width="8.140625" style="1057" customWidth="1"/>
    <col min="7206" max="7206" width="10.5703125" style="1057" customWidth="1"/>
    <col min="7207" max="7207" width="9.85546875" style="1057" customWidth="1"/>
    <col min="7208" max="7208" width="13.140625" style="1057" customWidth="1"/>
    <col min="7209" max="7209" width="25.42578125" style="1057" customWidth="1"/>
    <col min="7210" max="7210" width="30.85546875" style="1057" customWidth="1"/>
    <col min="7211" max="7211" width="27.42578125" style="1057" customWidth="1"/>
    <col min="7212" max="7424" width="11.42578125" style="1057"/>
    <col min="7425" max="7425" width="13" style="1057" bestFit="1" customWidth="1"/>
    <col min="7426" max="7426" width="6.85546875" style="1057" customWidth="1"/>
    <col min="7427" max="7427" width="14.28515625" style="1057" customWidth="1"/>
    <col min="7428" max="7428" width="14" style="1057" customWidth="1"/>
    <col min="7429" max="7429" width="17.85546875" style="1057" customWidth="1"/>
    <col min="7430" max="7430" width="3.5703125" style="1057" customWidth="1"/>
    <col min="7431" max="7431" width="13.28515625" style="1057" customWidth="1"/>
    <col min="7432" max="7432" width="5.85546875" style="1057" customWidth="1"/>
    <col min="7433" max="7433" width="23.28515625" style="1057" customWidth="1"/>
    <col min="7434" max="7434" width="17.140625" style="1057" customWidth="1"/>
    <col min="7435" max="7435" width="50.5703125" style="1057" customWidth="1"/>
    <col min="7436" max="7436" width="28.7109375" style="1057" customWidth="1"/>
    <col min="7437" max="7437" width="25.140625" style="1057" customWidth="1"/>
    <col min="7438" max="7438" width="36.7109375" style="1057" customWidth="1"/>
    <col min="7439" max="7440" width="24.5703125" style="1057" customWidth="1"/>
    <col min="7441" max="7441" width="17.85546875" style="1057" customWidth="1"/>
    <col min="7442" max="7442" width="27.5703125" style="1057" bestFit="1" customWidth="1"/>
    <col min="7443" max="7443" width="37.28515625" style="1057" customWidth="1"/>
    <col min="7444" max="7444" width="48.42578125" style="1057" customWidth="1"/>
    <col min="7445" max="7445" width="32" style="1057" customWidth="1"/>
    <col min="7446" max="7446" width="32.7109375" style="1057" customWidth="1"/>
    <col min="7447" max="7447" width="18.5703125" style="1057" customWidth="1"/>
    <col min="7448" max="7448" width="16.7109375" style="1057" customWidth="1"/>
    <col min="7449" max="7449" width="10.42578125" style="1057" customWidth="1"/>
    <col min="7450" max="7450" width="10.5703125" style="1057" customWidth="1"/>
    <col min="7451" max="7451" width="9.28515625" style="1057" customWidth="1"/>
    <col min="7452" max="7452" width="10.140625" style="1057" customWidth="1"/>
    <col min="7453" max="7453" width="8.42578125" style="1057" customWidth="1"/>
    <col min="7454" max="7454" width="9.5703125" style="1057" customWidth="1"/>
    <col min="7455" max="7455" width="9.28515625" style="1057" customWidth="1"/>
    <col min="7456" max="7456" width="8.85546875" style="1057" customWidth="1"/>
    <col min="7457" max="7459" width="8" style="1057" customWidth="1"/>
    <col min="7460" max="7460" width="8.7109375" style="1057" customWidth="1"/>
    <col min="7461" max="7461" width="8.140625" style="1057" customWidth="1"/>
    <col min="7462" max="7462" width="10.5703125" style="1057" customWidth="1"/>
    <col min="7463" max="7463" width="9.85546875" style="1057" customWidth="1"/>
    <col min="7464" max="7464" width="13.140625" style="1057" customWidth="1"/>
    <col min="7465" max="7465" width="25.42578125" style="1057" customWidth="1"/>
    <col min="7466" max="7466" width="30.85546875" style="1057" customWidth="1"/>
    <col min="7467" max="7467" width="27.42578125" style="1057" customWidth="1"/>
    <col min="7468" max="7680" width="11.42578125" style="1057"/>
    <col min="7681" max="7681" width="13" style="1057" bestFit="1" customWidth="1"/>
    <col min="7682" max="7682" width="6.85546875" style="1057" customWidth="1"/>
    <col min="7683" max="7683" width="14.28515625" style="1057" customWidth="1"/>
    <col min="7684" max="7684" width="14" style="1057" customWidth="1"/>
    <col min="7685" max="7685" width="17.85546875" style="1057" customWidth="1"/>
    <col min="7686" max="7686" width="3.5703125" style="1057" customWidth="1"/>
    <col min="7687" max="7687" width="13.28515625" style="1057" customWidth="1"/>
    <col min="7688" max="7688" width="5.85546875" style="1057" customWidth="1"/>
    <col min="7689" max="7689" width="23.28515625" style="1057" customWidth="1"/>
    <col min="7690" max="7690" width="17.140625" style="1057" customWidth="1"/>
    <col min="7691" max="7691" width="50.5703125" style="1057" customWidth="1"/>
    <col min="7692" max="7692" width="28.7109375" style="1057" customWidth="1"/>
    <col min="7693" max="7693" width="25.140625" style="1057" customWidth="1"/>
    <col min="7694" max="7694" width="36.7109375" style="1057" customWidth="1"/>
    <col min="7695" max="7696" width="24.5703125" style="1057" customWidth="1"/>
    <col min="7697" max="7697" width="17.85546875" style="1057" customWidth="1"/>
    <col min="7698" max="7698" width="27.5703125" style="1057" bestFit="1" customWidth="1"/>
    <col min="7699" max="7699" width="37.28515625" style="1057" customWidth="1"/>
    <col min="7700" max="7700" width="48.42578125" style="1057" customWidth="1"/>
    <col min="7701" max="7701" width="32" style="1057" customWidth="1"/>
    <col min="7702" max="7702" width="32.7109375" style="1057" customWidth="1"/>
    <col min="7703" max="7703" width="18.5703125" style="1057" customWidth="1"/>
    <col min="7704" max="7704" width="16.7109375" style="1057" customWidth="1"/>
    <col min="7705" max="7705" width="10.42578125" style="1057" customWidth="1"/>
    <col min="7706" max="7706" width="10.5703125" style="1057" customWidth="1"/>
    <col min="7707" max="7707" width="9.28515625" style="1057" customWidth="1"/>
    <col min="7708" max="7708" width="10.140625" style="1057" customWidth="1"/>
    <col min="7709" max="7709" width="8.42578125" style="1057" customWidth="1"/>
    <col min="7710" max="7710" width="9.5703125" style="1057" customWidth="1"/>
    <col min="7711" max="7711" width="9.28515625" style="1057" customWidth="1"/>
    <col min="7712" max="7712" width="8.85546875" style="1057" customWidth="1"/>
    <col min="7713" max="7715" width="8" style="1057" customWidth="1"/>
    <col min="7716" max="7716" width="8.7109375" style="1057" customWidth="1"/>
    <col min="7717" max="7717" width="8.140625" style="1057" customWidth="1"/>
    <col min="7718" max="7718" width="10.5703125" style="1057" customWidth="1"/>
    <col min="7719" max="7719" width="9.85546875" style="1057" customWidth="1"/>
    <col min="7720" max="7720" width="13.140625" style="1057" customWidth="1"/>
    <col min="7721" max="7721" width="25.42578125" style="1057" customWidth="1"/>
    <col min="7722" max="7722" width="30.85546875" style="1057" customWidth="1"/>
    <col min="7723" max="7723" width="27.42578125" style="1057" customWidth="1"/>
    <col min="7724" max="7936" width="11.42578125" style="1057"/>
    <col min="7937" max="7937" width="13" style="1057" bestFit="1" customWidth="1"/>
    <col min="7938" max="7938" width="6.85546875" style="1057" customWidth="1"/>
    <col min="7939" max="7939" width="14.28515625" style="1057" customWidth="1"/>
    <col min="7940" max="7940" width="14" style="1057" customWidth="1"/>
    <col min="7941" max="7941" width="17.85546875" style="1057" customWidth="1"/>
    <col min="7942" max="7942" width="3.5703125" style="1057" customWidth="1"/>
    <col min="7943" max="7943" width="13.28515625" style="1057" customWidth="1"/>
    <col min="7944" max="7944" width="5.85546875" style="1057" customWidth="1"/>
    <col min="7945" max="7945" width="23.28515625" style="1057" customWidth="1"/>
    <col min="7946" max="7946" width="17.140625" style="1057" customWidth="1"/>
    <col min="7947" max="7947" width="50.5703125" style="1057" customWidth="1"/>
    <col min="7948" max="7948" width="28.7109375" style="1057" customWidth="1"/>
    <col min="7949" max="7949" width="25.140625" style="1057" customWidth="1"/>
    <col min="7950" max="7950" width="36.7109375" style="1057" customWidth="1"/>
    <col min="7951" max="7952" width="24.5703125" style="1057" customWidth="1"/>
    <col min="7953" max="7953" width="17.85546875" style="1057" customWidth="1"/>
    <col min="7954" max="7954" width="27.5703125" style="1057" bestFit="1" customWidth="1"/>
    <col min="7955" max="7955" width="37.28515625" style="1057" customWidth="1"/>
    <col min="7956" max="7956" width="48.42578125" style="1057" customWidth="1"/>
    <col min="7957" max="7957" width="32" style="1057" customWidth="1"/>
    <col min="7958" max="7958" width="32.7109375" style="1057" customWidth="1"/>
    <col min="7959" max="7959" width="18.5703125" style="1057" customWidth="1"/>
    <col min="7960" max="7960" width="16.7109375" style="1057" customWidth="1"/>
    <col min="7961" max="7961" width="10.42578125" style="1057" customWidth="1"/>
    <col min="7962" max="7962" width="10.5703125" style="1057" customWidth="1"/>
    <col min="7963" max="7963" width="9.28515625" style="1057" customWidth="1"/>
    <col min="7964" max="7964" width="10.140625" style="1057" customWidth="1"/>
    <col min="7965" max="7965" width="8.42578125" style="1057" customWidth="1"/>
    <col min="7966" max="7966" width="9.5703125" style="1057" customWidth="1"/>
    <col min="7967" max="7967" width="9.28515625" style="1057" customWidth="1"/>
    <col min="7968" max="7968" width="8.85546875" style="1057" customWidth="1"/>
    <col min="7969" max="7971" width="8" style="1057" customWidth="1"/>
    <col min="7972" max="7972" width="8.7109375" style="1057" customWidth="1"/>
    <col min="7973" max="7973" width="8.140625" style="1057" customWidth="1"/>
    <col min="7974" max="7974" width="10.5703125" style="1057" customWidth="1"/>
    <col min="7975" max="7975" width="9.85546875" style="1057" customWidth="1"/>
    <col min="7976" max="7976" width="13.140625" style="1057" customWidth="1"/>
    <col min="7977" max="7977" width="25.42578125" style="1057" customWidth="1"/>
    <col min="7978" max="7978" width="30.85546875" style="1057" customWidth="1"/>
    <col min="7979" max="7979" width="27.42578125" style="1057" customWidth="1"/>
    <col min="7980" max="8192" width="11.42578125" style="1057"/>
    <col min="8193" max="8193" width="13" style="1057" bestFit="1" customWidth="1"/>
    <col min="8194" max="8194" width="6.85546875" style="1057" customWidth="1"/>
    <col min="8195" max="8195" width="14.28515625" style="1057" customWidth="1"/>
    <col min="8196" max="8196" width="14" style="1057" customWidth="1"/>
    <col min="8197" max="8197" width="17.85546875" style="1057" customWidth="1"/>
    <col min="8198" max="8198" width="3.5703125" style="1057" customWidth="1"/>
    <col min="8199" max="8199" width="13.28515625" style="1057" customWidth="1"/>
    <col min="8200" max="8200" width="5.85546875" style="1057" customWidth="1"/>
    <col min="8201" max="8201" width="23.28515625" style="1057" customWidth="1"/>
    <col min="8202" max="8202" width="17.140625" style="1057" customWidth="1"/>
    <col min="8203" max="8203" width="50.5703125" style="1057" customWidth="1"/>
    <col min="8204" max="8204" width="28.7109375" style="1057" customWidth="1"/>
    <col min="8205" max="8205" width="25.140625" style="1057" customWidth="1"/>
    <col min="8206" max="8206" width="36.7109375" style="1057" customWidth="1"/>
    <col min="8207" max="8208" width="24.5703125" style="1057" customWidth="1"/>
    <col min="8209" max="8209" width="17.85546875" style="1057" customWidth="1"/>
    <col min="8210" max="8210" width="27.5703125" style="1057" bestFit="1" customWidth="1"/>
    <col min="8211" max="8211" width="37.28515625" style="1057" customWidth="1"/>
    <col min="8212" max="8212" width="48.42578125" style="1057" customWidth="1"/>
    <col min="8213" max="8213" width="32" style="1057" customWidth="1"/>
    <col min="8214" max="8214" width="32.7109375" style="1057" customWidth="1"/>
    <col min="8215" max="8215" width="18.5703125" style="1057" customWidth="1"/>
    <col min="8216" max="8216" width="16.7109375" style="1057" customWidth="1"/>
    <col min="8217" max="8217" width="10.42578125" style="1057" customWidth="1"/>
    <col min="8218" max="8218" width="10.5703125" style="1057" customWidth="1"/>
    <col min="8219" max="8219" width="9.28515625" style="1057" customWidth="1"/>
    <col min="8220" max="8220" width="10.140625" style="1057" customWidth="1"/>
    <col min="8221" max="8221" width="8.42578125" style="1057" customWidth="1"/>
    <col min="8222" max="8222" width="9.5703125" style="1057" customWidth="1"/>
    <col min="8223" max="8223" width="9.28515625" style="1057" customWidth="1"/>
    <col min="8224" max="8224" width="8.85546875" style="1057" customWidth="1"/>
    <col min="8225" max="8227" width="8" style="1057" customWidth="1"/>
    <col min="8228" max="8228" width="8.7109375" style="1057" customWidth="1"/>
    <col min="8229" max="8229" width="8.140625" style="1057" customWidth="1"/>
    <col min="8230" max="8230" width="10.5703125" style="1057" customWidth="1"/>
    <col min="8231" max="8231" width="9.85546875" style="1057" customWidth="1"/>
    <col min="8232" max="8232" width="13.140625" style="1057" customWidth="1"/>
    <col min="8233" max="8233" width="25.42578125" style="1057" customWidth="1"/>
    <col min="8234" max="8234" width="30.85546875" style="1057" customWidth="1"/>
    <col min="8235" max="8235" width="27.42578125" style="1057" customWidth="1"/>
    <col min="8236" max="8448" width="11.42578125" style="1057"/>
    <col min="8449" max="8449" width="13" style="1057" bestFit="1" customWidth="1"/>
    <col min="8450" max="8450" width="6.85546875" style="1057" customWidth="1"/>
    <col min="8451" max="8451" width="14.28515625" style="1057" customWidth="1"/>
    <col min="8452" max="8452" width="14" style="1057" customWidth="1"/>
    <col min="8453" max="8453" width="17.85546875" style="1057" customWidth="1"/>
    <col min="8454" max="8454" width="3.5703125" style="1057" customWidth="1"/>
    <col min="8455" max="8455" width="13.28515625" style="1057" customWidth="1"/>
    <col min="8456" max="8456" width="5.85546875" style="1057" customWidth="1"/>
    <col min="8457" max="8457" width="23.28515625" style="1057" customWidth="1"/>
    <col min="8458" max="8458" width="17.140625" style="1057" customWidth="1"/>
    <col min="8459" max="8459" width="50.5703125" style="1057" customWidth="1"/>
    <col min="8460" max="8460" width="28.7109375" style="1057" customWidth="1"/>
    <col min="8461" max="8461" width="25.140625" style="1057" customWidth="1"/>
    <col min="8462" max="8462" width="36.7109375" style="1057" customWidth="1"/>
    <col min="8463" max="8464" width="24.5703125" style="1057" customWidth="1"/>
    <col min="8465" max="8465" width="17.85546875" style="1057" customWidth="1"/>
    <col min="8466" max="8466" width="27.5703125" style="1057" bestFit="1" customWidth="1"/>
    <col min="8467" max="8467" width="37.28515625" style="1057" customWidth="1"/>
    <col min="8468" max="8468" width="48.42578125" style="1057" customWidth="1"/>
    <col min="8469" max="8469" width="32" style="1057" customWidth="1"/>
    <col min="8470" max="8470" width="32.7109375" style="1057" customWidth="1"/>
    <col min="8471" max="8471" width="18.5703125" style="1057" customWidth="1"/>
    <col min="8472" max="8472" width="16.7109375" style="1057" customWidth="1"/>
    <col min="8473" max="8473" width="10.42578125" style="1057" customWidth="1"/>
    <col min="8474" max="8474" width="10.5703125" style="1057" customWidth="1"/>
    <col min="8475" max="8475" width="9.28515625" style="1057" customWidth="1"/>
    <col min="8476" max="8476" width="10.140625" style="1057" customWidth="1"/>
    <col min="8477" max="8477" width="8.42578125" style="1057" customWidth="1"/>
    <col min="8478" max="8478" width="9.5703125" style="1057" customWidth="1"/>
    <col min="8479" max="8479" width="9.28515625" style="1057" customWidth="1"/>
    <col min="8480" max="8480" width="8.85546875" style="1057" customWidth="1"/>
    <col min="8481" max="8483" width="8" style="1057" customWidth="1"/>
    <col min="8484" max="8484" width="8.7109375" style="1057" customWidth="1"/>
    <col min="8485" max="8485" width="8.140625" style="1057" customWidth="1"/>
    <col min="8486" max="8486" width="10.5703125" style="1057" customWidth="1"/>
    <col min="8487" max="8487" width="9.85546875" style="1057" customWidth="1"/>
    <col min="8488" max="8488" width="13.140625" style="1057" customWidth="1"/>
    <col min="8489" max="8489" width="25.42578125" style="1057" customWidth="1"/>
    <col min="8490" max="8490" width="30.85546875" style="1057" customWidth="1"/>
    <col min="8491" max="8491" width="27.42578125" style="1057" customWidth="1"/>
    <col min="8492" max="8704" width="11.42578125" style="1057"/>
    <col min="8705" max="8705" width="13" style="1057" bestFit="1" customWidth="1"/>
    <col min="8706" max="8706" width="6.85546875" style="1057" customWidth="1"/>
    <col min="8707" max="8707" width="14.28515625" style="1057" customWidth="1"/>
    <col min="8708" max="8708" width="14" style="1057" customWidth="1"/>
    <col min="8709" max="8709" width="17.85546875" style="1057" customWidth="1"/>
    <col min="8710" max="8710" width="3.5703125" style="1057" customWidth="1"/>
    <col min="8711" max="8711" width="13.28515625" style="1057" customWidth="1"/>
    <col min="8712" max="8712" width="5.85546875" style="1057" customWidth="1"/>
    <col min="8713" max="8713" width="23.28515625" style="1057" customWidth="1"/>
    <col min="8714" max="8714" width="17.140625" style="1057" customWidth="1"/>
    <col min="8715" max="8715" width="50.5703125" style="1057" customWidth="1"/>
    <col min="8716" max="8716" width="28.7109375" style="1057" customWidth="1"/>
    <col min="8717" max="8717" width="25.140625" style="1057" customWidth="1"/>
    <col min="8718" max="8718" width="36.7109375" style="1057" customWidth="1"/>
    <col min="8719" max="8720" width="24.5703125" style="1057" customWidth="1"/>
    <col min="8721" max="8721" width="17.85546875" style="1057" customWidth="1"/>
    <col min="8722" max="8722" width="27.5703125" style="1057" bestFit="1" customWidth="1"/>
    <col min="8723" max="8723" width="37.28515625" style="1057" customWidth="1"/>
    <col min="8724" max="8724" width="48.42578125" style="1057" customWidth="1"/>
    <col min="8725" max="8725" width="32" style="1057" customWidth="1"/>
    <col min="8726" max="8726" width="32.7109375" style="1057" customWidth="1"/>
    <col min="8727" max="8727" width="18.5703125" style="1057" customWidth="1"/>
    <col min="8728" max="8728" width="16.7109375" style="1057" customWidth="1"/>
    <col min="8729" max="8729" width="10.42578125" style="1057" customWidth="1"/>
    <col min="8730" max="8730" width="10.5703125" style="1057" customWidth="1"/>
    <col min="8731" max="8731" width="9.28515625" style="1057" customWidth="1"/>
    <col min="8732" max="8732" width="10.140625" style="1057" customWidth="1"/>
    <col min="8733" max="8733" width="8.42578125" style="1057" customWidth="1"/>
    <col min="8734" max="8734" width="9.5703125" style="1057" customWidth="1"/>
    <col min="8735" max="8735" width="9.28515625" style="1057" customWidth="1"/>
    <col min="8736" max="8736" width="8.85546875" style="1057" customWidth="1"/>
    <col min="8737" max="8739" width="8" style="1057" customWidth="1"/>
    <col min="8740" max="8740" width="8.7109375" style="1057" customWidth="1"/>
    <col min="8741" max="8741" width="8.140625" style="1057" customWidth="1"/>
    <col min="8742" max="8742" width="10.5703125" style="1057" customWidth="1"/>
    <col min="8743" max="8743" width="9.85546875" style="1057" customWidth="1"/>
    <col min="8744" max="8744" width="13.140625" style="1057" customWidth="1"/>
    <col min="8745" max="8745" width="25.42578125" style="1057" customWidth="1"/>
    <col min="8746" max="8746" width="30.85546875" style="1057" customWidth="1"/>
    <col min="8747" max="8747" width="27.42578125" style="1057" customWidth="1"/>
    <col min="8748" max="8960" width="11.42578125" style="1057"/>
    <col min="8961" max="8961" width="13" style="1057" bestFit="1" customWidth="1"/>
    <col min="8962" max="8962" width="6.85546875" style="1057" customWidth="1"/>
    <col min="8963" max="8963" width="14.28515625" style="1057" customWidth="1"/>
    <col min="8964" max="8964" width="14" style="1057" customWidth="1"/>
    <col min="8965" max="8965" width="17.85546875" style="1057" customWidth="1"/>
    <col min="8966" max="8966" width="3.5703125" style="1057" customWidth="1"/>
    <col min="8967" max="8967" width="13.28515625" style="1057" customWidth="1"/>
    <col min="8968" max="8968" width="5.85546875" style="1057" customWidth="1"/>
    <col min="8969" max="8969" width="23.28515625" style="1057" customWidth="1"/>
    <col min="8970" max="8970" width="17.140625" style="1057" customWidth="1"/>
    <col min="8971" max="8971" width="50.5703125" style="1057" customWidth="1"/>
    <col min="8972" max="8972" width="28.7109375" style="1057" customWidth="1"/>
    <col min="8973" max="8973" width="25.140625" style="1057" customWidth="1"/>
    <col min="8974" max="8974" width="36.7109375" style="1057" customWidth="1"/>
    <col min="8975" max="8976" width="24.5703125" style="1057" customWidth="1"/>
    <col min="8977" max="8977" width="17.85546875" style="1057" customWidth="1"/>
    <col min="8978" max="8978" width="27.5703125" style="1057" bestFit="1" customWidth="1"/>
    <col min="8979" max="8979" width="37.28515625" style="1057" customWidth="1"/>
    <col min="8980" max="8980" width="48.42578125" style="1057" customWidth="1"/>
    <col min="8981" max="8981" width="32" style="1057" customWidth="1"/>
    <col min="8982" max="8982" width="32.7109375" style="1057" customWidth="1"/>
    <col min="8983" max="8983" width="18.5703125" style="1057" customWidth="1"/>
    <col min="8984" max="8984" width="16.7109375" style="1057" customWidth="1"/>
    <col min="8985" max="8985" width="10.42578125" style="1057" customWidth="1"/>
    <col min="8986" max="8986" width="10.5703125" style="1057" customWidth="1"/>
    <col min="8987" max="8987" width="9.28515625" style="1057" customWidth="1"/>
    <col min="8988" max="8988" width="10.140625" style="1057" customWidth="1"/>
    <col min="8989" max="8989" width="8.42578125" style="1057" customWidth="1"/>
    <col min="8990" max="8990" width="9.5703125" style="1057" customWidth="1"/>
    <col min="8991" max="8991" width="9.28515625" style="1057" customWidth="1"/>
    <col min="8992" max="8992" width="8.85546875" style="1057" customWidth="1"/>
    <col min="8993" max="8995" width="8" style="1057" customWidth="1"/>
    <col min="8996" max="8996" width="8.7109375" style="1057" customWidth="1"/>
    <col min="8997" max="8997" width="8.140625" style="1057" customWidth="1"/>
    <col min="8998" max="8998" width="10.5703125" style="1057" customWidth="1"/>
    <col min="8999" max="8999" width="9.85546875" style="1057" customWidth="1"/>
    <col min="9000" max="9000" width="13.140625" style="1057" customWidth="1"/>
    <col min="9001" max="9001" width="25.42578125" style="1057" customWidth="1"/>
    <col min="9002" max="9002" width="30.85546875" style="1057" customWidth="1"/>
    <col min="9003" max="9003" width="27.42578125" style="1057" customWidth="1"/>
    <col min="9004" max="9216" width="11.42578125" style="1057"/>
    <col min="9217" max="9217" width="13" style="1057" bestFit="1" customWidth="1"/>
    <col min="9218" max="9218" width="6.85546875" style="1057" customWidth="1"/>
    <col min="9219" max="9219" width="14.28515625" style="1057" customWidth="1"/>
    <col min="9220" max="9220" width="14" style="1057" customWidth="1"/>
    <col min="9221" max="9221" width="17.85546875" style="1057" customWidth="1"/>
    <col min="9222" max="9222" width="3.5703125" style="1057" customWidth="1"/>
    <col min="9223" max="9223" width="13.28515625" style="1057" customWidth="1"/>
    <col min="9224" max="9224" width="5.85546875" style="1057" customWidth="1"/>
    <col min="9225" max="9225" width="23.28515625" style="1057" customWidth="1"/>
    <col min="9226" max="9226" width="17.140625" style="1057" customWidth="1"/>
    <col min="9227" max="9227" width="50.5703125" style="1057" customWidth="1"/>
    <col min="9228" max="9228" width="28.7109375" style="1057" customWidth="1"/>
    <col min="9229" max="9229" width="25.140625" style="1057" customWidth="1"/>
    <col min="9230" max="9230" width="36.7109375" style="1057" customWidth="1"/>
    <col min="9231" max="9232" width="24.5703125" style="1057" customWidth="1"/>
    <col min="9233" max="9233" width="17.85546875" style="1057" customWidth="1"/>
    <col min="9234" max="9234" width="27.5703125" style="1057" bestFit="1" customWidth="1"/>
    <col min="9235" max="9235" width="37.28515625" style="1057" customWidth="1"/>
    <col min="9236" max="9236" width="48.42578125" style="1057" customWidth="1"/>
    <col min="9237" max="9237" width="32" style="1057" customWidth="1"/>
    <col min="9238" max="9238" width="32.7109375" style="1057" customWidth="1"/>
    <col min="9239" max="9239" width="18.5703125" style="1057" customWidth="1"/>
    <col min="9240" max="9240" width="16.7109375" style="1057" customWidth="1"/>
    <col min="9241" max="9241" width="10.42578125" style="1057" customWidth="1"/>
    <col min="9242" max="9242" width="10.5703125" style="1057" customWidth="1"/>
    <col min="9243" max="9243" width="9.28515625" style="1057" customWidth="1"/>
    <col min="9244" max="9244" width="10.140625" style="1057" customWidth="1"/>
    <col min="9245" max="9245" width="8.42578125" style="1057" customWidth="1"/>
    <col min="9246" max="9246" width="9.5703125" style="1057" customWidth="1"/>
    <col min="9247" max="9247" width="9.28515625" style="1057" customWidth="1"/>
    <col min="9248" max="9248" width="8.85546875" style="1057" customWidth="1"/>
    <col min="9249" max="9251" width="8" style="1057" customWidth="1"/>
    <col min="9252" max="9252" width="8.7109375" style="1057" customWidth="1"/>
    <col min="9253" max="9253" width="8.140625" style="1057" customWidth="1"/>
    <col min="9254" max="9254" width="10.5703125" style="1057" customWidth="1"/>
    <col min="9255" max="9255" width="9.85546875" style="1057" customWidth="1"/>
    <col min="9256" max="9256" width="13.140625" style="1057" customWidth="1"/>
    <col min="9257" max="9257" width="25.42578125" style="1057" customWidth="1"/>
    <col min="9258" max="9258" width="30.85546875" style="1057" customWidth="1"/>
    <col min="9259" max="9259" width="27.42578125" style="1057" customWidth="1"/>
    <col min="9260" max="9472" width="11.42578125" style="1057"/>
    <col min="9473" max="9473" width="13" style="1057" bestFit="1" customWidth="1"/>
    <col min="9474" max="9474" width="6.85546875" style="1057" customWidth="1"/>
    <col min="9475" max="9475" width="14.28515625" style="1057" customWidth="1"/>
    <col min="9476" max="9476" width="14" style="1057" customWidth="1"/>
    <col min="9477" max="9477" width="17.85546875" style="1057" customWidth="1"/>
    <col min="9478" max="9478" width="3.5703125" style="1057" customWidth="1"/>
    <col min="9479" max="9479" width="13.28515625" style="1057" customWidth="1"/>
    <col min="9480" max="9480" width="5.85546875" style="1057" customWidth="1"/>
    <col min="9481" max="9481" width="23.28515625" style="1057" customWidth="1"/>
    <col min="9482" max="9482" width="17.140625" style="1057" customWidth="1"/>
    <col min="9483" max="9483" width="50.5703125" style="1057" customWidth="1"/>
    <col min="9484" max="9484" width="28.7109375" style="1057" customWidth="1"/>
    <col min="9485" max="9485" width="25.140625" style="1057" customWidth="1"/>
    <col min="9486" max="9486" width="36.7109375" style="1057" customWidth="1"/>
    <col min="9487" max="9488" width="24.5703125" style="1057" customWidth="1"/>
    <col min="9489" max="9489" width="17.85546875" style="1057" customWidth="1"/>
    <col min="9490" max="9490" width="27.5703125" style="1057" bestFit="1" customWidth="1"/>
    <col min="9491" max="9491" width="37.28515625" style="1057" customWidth="1"/>
    <col min="9492" max="9492" width="48.42578125" style="1057" customWidth="1"/>
    <col min="9493" max="9493" width="32" style="1057" customWidth="1"/>
    <col min="9494" max="9494" width="32.7109375" style="1057" customWidth="1"/>
    <col min="9495" max="9495" width="18.5703125" style="1057" customWidth="1"/>
    <col min="9496" max="9496" width="16.7109375" style="1057" customWidth="1"/>
    <col min="9497" max="9497" width="10.42578125" style="1057" customWidth="1"/>
    <col min="9498" max="9498" width="10.5703125" style="1057" customWidth="1"/>
    <col min="9499" max="9499" width="9.28515625" style="1057" customWidth="1"/>
    <col min="9500" max="9500" width="10.140625" style="1057" customWidth="1"/>
    <col min="9501" max="9501" width="8.42578125" style="1057" customWidth="1"/>
    <col min="9502" max="9502" width="9.5703125" style="1057" customWidth="1"/>
    <col min="9503" max="9503" width="9.28515625" style="1057" customWidth="1"/>
    <col min="9504" max="9504" width="8.85546875" style="1057" customWidth="1"/>
    <col min="9505" max="9507" width="8" style="1057" customWidth="1"/>
    <col min="9508" max="9508" width="8.7109375" style="1057" customWidth="1"/>
    <col min="9509" max="9509" width="8.140625" style="1057" customWidth="1"/>
    <col min="9510" max="9510" width="10.5703125" style="1057" customWidth="1"/>
    <col min="9511" max="9511" width="9.85546875" style="1057" customWidth="1"/>
    <col min="9512" max="9512" width="13.140625" style="1057" customWidth="1"/>
    <col min="9513" max="9513" width="25.42578125" style="1057" customWidth="1"/>
    <col min="9514" max="9514" width="30.85546875" style="1057" customWidth="1"/>
    <col min="9515" max="9515" width="27.42578125" style="1057" customWidth="1"/>
    <col min="9516" max="9728" width="11.42578125" style="1057"/>
    <col min="9729" max="9729" width="13" style="1057" bestFit="1" customWidth="1"/>
    <col min="9730" max="9730" width="6.85546875" style="1057" customWidth="1"/>
    <col min="9731" max="9731" width="14.28515625" style="1057" customWidth="1"/>
    <col min="9732" max="9732" width="14" style="1057" customWidth="1"/>
    <col min="9733" max="9733" width="17.85546875" style="1057" customWidth="1"/>
    <col min="9734" max="9734" width="3.5703125" style="1057" customWidth="1"/>
    <col min="9735" max="9735" width="13.28515625" style="1057" customWidth="1"/>
    <col min="9736" max="9736" width="5.85546875" style="1057" customWidth="1"/>
    <col min="9737" max="9737" width="23.28515625" style="1057" customWidth="1"/>
    <col min="9738" max="9738" width="17.140625" style="1057" customWidth="1"/>
    <col min="9739" max="9739" width="50.5703125" style="1057" customWidth="1"/>
    <col min="9740" max="9740" width="28.7109375" style="1057" customWidth="1"/>
    <col min="9741" max="9741" width="25.140625" style="1057" customWidth="1"/>
    <col min="9742" max="9742" width="36.7109375" style="1057" customWidth="1"/>
    <col min="9743" max="9744" width="24.5703125" style="1057" customWidth="1"/>
    <col min="9745" max="9745" width="17.85546875" style="1057" customWidth="1"/>
    <col min="9746" max="9746" width="27.5703125" style="1057" bestFit="1" customWidth="1"/>
    <col min="9747" max="9747" width="37.28515625" style="1057" customWidth="1"/>
    <col min="9748" max="9748" width="48.42578125" style="1057" customWidth="1"/>
    <col min="9749" max="9749" width="32" style="1057" customWidth="1"/>
    <col min="9750" max="9750" width="32.7109375" style="1057" customWidth="1"/>
    <col min="9751" max="9751" width="18.5703125" style="1057" customWidth="1"/>
    <col min="9752" max="9752" width="16.7109375" style="1057" customWidth="1"/>
    <col min="9753" max="9753" width="10.42578125" style="1057" customWidth="1"/>
    <col min="9754" max="9754" width="10.5703125" style="1057" customWidth="1"/>
    <col min="9755" max="9755" width="9.28515625" style="1057" customWidth="1"/>
    <col min="9756" max="9756" width="10.140625" style="1057" customWidth="1"/>
    <col min="9757" max="9757" width="8.42578125" style="1057" customWidth="1"/>
    <col min="9758" max="9758" width="9.5703125" style="1057" customWidth="1"/>
    <col min="9759" max="9759" width="9.28515625" style="1057" customWidth="1"/>
    <col min="9760" max="9760" width="8.85546875" style="1057" customWidth="1"/>
    <col min="9761" max="9763" width="8" style="1057" customWidth="1"/>
    <col min="9764" max="9764" width="8.7109375" style="1057" customWidth="1"/>
    <col min="9765" max="9765" width="8.140625" style="1057" customWidth="1"/>
    <col min="9766" max="9766" width="10.5703125" style="1057" customWidth="1"/>
    <col min="9767" max="9767" width="9.85546875" style="1057" customWidth="1"/>
    <col min="9768" max="9768" width="13.140625" style="1057" customWidth="1"/>
    <col min="9769" max="9769" width="25.42578125" style="1057" customWidth="1"/>
    <col min="9770" max="9770" width="30.85546875" style="1057" customWidth="1"/>
    <col min="9771" max="9771" width="27.42578125" style="1057" customWidth="1"/>
    <col min="9772" max="9984" width="11.42578125" style="1057"/>
    <col min="9985" max="9985" width="13" style="1057" bestFit="1" customWidth="1"/>
    <col min="9986" max="9986" width="6.85546875" style="1057" customWidth="1"/>
    <col min="9987" max="9987" width="14.28515625" style="1057" customWidth="1"/>
    <col min="9988" max="9988" width="14" style="1057" customWidth="1"/>
    <col min="9989" max="9989" width="17.85546875" style="1057" customWidth="1"/>
    <col min="9990" max="9990" width="3.5703125" style="1057" customWidth="1"/>
    <col min="9991" max="9991" width="13.28515625" style="1057" customWidth="1"/>
    <col min="9992" max="9992" width="5.85546875" style="1057" customWidth="1"/>
    <col min="9993" max="9993" width="23.28515625" style="1057" customWidth="1"/>
    <col min="9994" max="9994" width="17.140625" style="1057" customWidth="1"/>
    <col min="9995" max="9995" width="50.5703125" style="1057" customWidth="1"/>
    <col min="9996" max="9996" width="28.7109375" style="1057" customWidth="1"/>
    <col min="9997" max="9997" width="25.140625" style="1057" customWidth="1"/>
    <col min="9998" max="9998" width="36.7109375" style="1057" customWidth="1"/>
    <col min="9999" max="10000" width="24.5703125" style="1057" customWidth="1"/>
    <col min="10001" max="10001" width="17.85546875" style="1057" customWidth="1"/>
    <col min="10002" max="10002" width="27.5703125" style="1057" bestFit="1" customWidth="1"/>
    <col min="10003" max="10003" width="37.28515625" style="1057" customWidth="1"/>
    <col min="10004" max="10004" width="48.42578125" style="1057" customWidth="1"/>
    <col min="10005" max="10005" width="32" style="1057" customWidth="1"/>
    <col min="10006" max="10006" width="32.7109375" style="1057" customWidth="1"/>
    <col min="10007" max="10007" width="18.5703125" style="1057" customWidth="1"/>
    <col min="10008" max="10008" width="16.7109375" style="1057" customWidth="1"/>
    <col min="10009" max="10009" width="10.42578125" style="1057" customWidth="1"/>
    <col min="10010" max="10010" width="10.5703125" style="1057" customWidth="1"/>
    <col min="10011" max="10011" width="9.28515625" style="1057" customWidth="1"/>
    <col min="10012" max="10012" width="10.140625" style="1057" customWidth="1"/>
    <col min="10013" max="10013" width="8.42578125" style="1057" customWidth="1"/>
    <col min="10014" max="10014" width="9.5703125" style="1057" customWidth="1"/>
    <col min="10015" max="10015" width="9.28515625" style="1057" customWidth="1"/>
    <col min="10016" max="10016" width="8.85546875" style="1057" customWidth="1"/>
    <col min="10017" max="10019" width="8" style="1057" customWidth="1"/>
    <col min="10020" max="10020" width="8.7109375" style="1057" customWidth="1"/>
    <col min="10021" max="10021" width="8.140625" style="1057" customWidth="1"/>
    <col min="10022" max="10022" width="10.5703125" style="1057" customWidth="1"/>
    <col min="10023" max="10023" width="9.85546875" style="1057" customWidth="1"/>
    <col min="10024" max="10024" width="13.140625" style="1057" customWidth="1"/>
    <col min="10025" max="10025" width="25.42578125" style="1057" customWidth="1"/>
    <col min="10026" max="10026" width="30.85546875" style="1057" customWidth="1"/>
    <col min="10027" max="10027" width="27.42578125" style="1057" customWidth="1"/>
    <col min="10028" max="10240" width="11.42578125" style="1057"/>
    <col min="10241" max="10241" width="13" style="1057" bestFit="1" customWidth="1"/>
    <col min="10242" max="10242" width="6.85546875" style="1057" customWidth="1"/>
    <col min="10243" max="10243" width="14.28515625" style="1057" customWidth="1"/>
    <col min="10244" max="10244" width="14" style="1057" customWidth="1"/>
    <col min="10245" max="10245" width="17.85546875" style="1057" customWidth="1"/>
    <col min="10246" max="10246" width="3.5703125" style="1057" customWidth="1"/>
    <col min="10247" max="10247" width="13.28515625" style="1057" customWidth="1"/>
    <col min="10248" max="10248" width="5.85546875" style="1057" customWidth="1"/>
    <col min="10249" max="10249" width="23.28515625" style="1057" customWidth="1"/>
    <col min="10250" max="10250" width="17.140625" style="1057" customWidth="1"/>
    <col min="10251" max="10251" width="50.5703125" style="1057" customWidth="1"/>
    <col min="10252" max="10252" width="28.7109375" style="1057" customWidth="1"/>
    <col min="10253" max="10253" width="25.140625" style="1057" customWidth="1"/>
    <col min="10254" max="10254" width="36.7109375" style="1057" customWidth="1"/>
    <col min="10255" max="10256" width="24.5703125" style="1057" customWidth="1"/>
    <col min="10257" max="10257" width="17.85546875" style="1057" customWidth="1"/>
    <col min="10258" max="10258" width="27.5703125" style="1057" bestFit="1" customWidth="1"/>
    <col min="10259" max="10259" width="37.28515625" style="1057" customWidth="1"/>
    <col min="10260" max="10260" width="48.42578125" style="1057" customWidth="1"/>
    <col min="10261" max="10261" width="32" style="1057" customWidth="1"/>
    <col min="10262" max="10262" width="32.7109375" style="1057" customWidth="1"/>
    <col min="10263" max="10263" width="18.5703125" style="1057" customWidth="1"/>
    <col min="10264" max="10264" width="16.7109375" style="1057" customWidth="1"/>
    <col min="10265" max="10265" width="10.42578125" style="1057" customWidth="1"/>
    <col min="10266" max="10266" width="10.5703125" style="1057" customWidth="1"/>
    <col min="10267" max="10267" width="9.28515625" style="1057" customWidth="1"/>
    <col min="10268" max="10268" width="10.140625" style="1057" customWidth="1"/>
    <col min="10269" max="10269" width="8.42578125" style="1057" customWidth="1"/>
    <col min="10270" max="10270" width="9.5703125" style="1057" customWidth="1"/>
    <col min="10271" max="10271" width="9.28515625" style="1057" customWidth="1"/>
    <col min="10272" max="10272" width="8.85546875" style="1057" customWidth="1"/>
    <col min="10273" max="10275" width="8" style="1057" customWidth="1"/>
    <col min="10276" max="10276" width="8.7109375" style="1057" customWidth="1"/>
    <col min="10277" max="10277" width="8.140625" style="1057" customWidth="1"/>
    <col min="10278" max="10278" width="10.5703125" style="1057" customWidth="1"/>
    <col min="10279" max="10279" width="9.85546875" style="1057" customWidth="1"/>
    <col min="10280" max="10280" width="13.140625" style="1057" customWidth="1"/>
    <col min="10281" max="10281" width="25.42578125" style="1057" customWidth="1"/>
    <col min="10282" max="10282" width="30.85546875" style="1057" customWidth="1"/>
    <col min="10283" max="10283" width="27.42578125" style="1057" customWidth="1"/>
    <col min="10284" max="10496" width="11.42578125" style="1057"/>
    <col min="10497" max="10497" width="13" style="1057" bestFit="1" customWidth="1"/>
    <col min="10498" max="10498" width="6.85546875" style="1057" customWidth="1"/>
    <col min="10499" max="10499" width="14.28515625" style="1057" customWidth="1"/>
    <col min="10500" max="10500" width="14" style="1057" customWidth="1"/>
    <col min="10501" max="10501" width="17.85546875" style="1057" customWidth="1"/>
    <col min="10502" max="10502" width="3.5703125" style="1057" customWidth="1"/>
    <col min="10503" max="10503" width="13.28515625" style="1057" customWidth="1"/>
    <col min="10504" max="10504" width="5.85546875" style="1057" customWidth="1"/>
    <col min="10505" max="10505" width="23.28515625" style="1057" customWidth="1"/>
    <col min="10506" max="10506" width="17.140625" style="1057" customWidth="1"/>
    <col min="10507" max="10507" width="50.5703125" style="1057" customWidth="1"/>
    <col min="10508" max="10508" width="28.7109375" style="1057" customWidth="1"/>
    <col min="10509" max="10509" width="25.140625" style="1057" customWidth="1"/>
    <col min="10510" max="10510" width="36.7109375" style="1057" customWidth="1"/>
    <col min="10511" max="10512" width="24.5703125" style="1057" customWidth="1"/>
    <col min="10513" max="10513" width="17.85546875" style="1057" customWidth="1"/>
    <col min="10514" max="10514" width="27.5703125" style="1057" bestFit="1" customWidth="1"/>
    <col min="10515" max="10515" width="37.28515625" style="1057" customWidth="1"/>
    <col min="10516" max="10516" width="48.42578125" style="1057" customWidth="1"/>
    <col min="10517" max="10517" width="32" style="1057" customWidth="1"/>
    <col min="10518" max="10518" width="32.7109375" style="1057" customWidth="1"/>
    <col min="10519" max="10519" width="18.5703125" style="1057" customWidth="1"/>
    <col min="10520" max="10520" width="16.7109375" style="1057" customWidth="1"/>
    <col min="10521" max="10521" width="10.42578125" style="1057" customWidth="1"/>
    <col min="10522" max="10522" width="10.5703125" style="1057" customWidth="1"/>
    <col min="10523" max="10523" width="9.28515625" style="1057" customWidth="1"/>
    <col min="10524" max="10524" width="10.140625" style="1057" customWidth="1"/>
    <col min="10525" max="10525" width="8.42578125" style="1057" customWidth="1"/>
    <col min="10526" max="10526" width="9.5703125" style="1057" customWidth="1"/>
    <col min="10527" max="10527" width="9.28515625" style="1057" customWidth="1"/>
    <col min="10528" max="10528" width="8.85546875" style="1057" customWidth="1"/>
    <col min="10529" max="10531" width="8" style="1057" customWidth="1"/>
    <col min="10532" max="10532" width="8.7109375" style="1057" customWidth="1"/>
    <col min="10533" max="10533" width="8.140625" style="1057" customWidth="1"/>
    <col min="10534" max="10534" width="10.5703125" style="1057" customWidth="1"/>
    <col min="10535" max="10535" width="9.85546875" style="1057" customWidth="1"/>
    <col min="10536" max="10536" width="13.140625" style="1057" customWidth="1"/>
    <col min="10537" max="10537" width="25.42578125" style="1057" customWidth="1"/>
    <col min="10538" max="10538" width="30.85546875" style="1057" customWidth="1"/>
    <col min="10539" max="10539" width="27.42578125" style="1057" customWidth="1"/>
    <col min="10540" max="10752" width="11.42578125" style="1057"/>
    <col min="10753" max="10753" width="13" style="1057" bestFit="1" customWidth="1"/>
    <col min="10754" max="10754" width="6.85546875" style="1057" customWidth="1"/>
    <col min="10755" max="10755" width="14.28515625" style="1057" customWidth="1"/>
    <col min="10756" max="10756" width="14" style="1057" customWidth="1"/>
    <col min="10757" max="10757" width="17.85546875" style="1057" customWidth="1"/>
    <col min="10758" max="10758" width="3.5703125" style="1057" customWidth="1"/>
    <col min="10759" max="10759" width="13.28515625" style="1057" customWidth="1"/>
    <col min="10760" max="10760" width="5.85546875" style="1057" customWidth="1"/>
    <col min="10761" max="10761" width="23.28515625" style="1057" customWidth="1"/>
    <col min="10762" max="10762" width="17.140625" style="1057" customWidth="1"/>
    <col min="10763" max="10763" width="50.5703125" style="1057" customWidth="1"/>
    <col min="10764" max="10764" width="28.7109375" style="1057" customWidth="1"/>
    <col min="10765" max="10765" width="25.140625" style="1057" customWidth="1"/>
    <col min="10766" max="10766" width="36.7109375" style="1057" customWidth="1"/>
    <col min="10767" max="10768" width="24.5703125" style="1057" customWidth="1"/>
    <col min="10769" max="10769" width="17.85546875" style="1057" customWidth="1"/>
    <col min="10770" max="10770" width="27.5703125" style="1057" bestFit="1" customWidth="1"/>
    <col min="10771" max="10771" width="37.28515625" style="1057" customWidth="1"/>
    <col min="10772" max="10772" width="48.42578125" style="1057" customWidth="1"/>
    <col min="10773" max="10773" width="32" style="1057" customWidth="1"/>
    <col min="10774" max="10774" width="32.7109375" style="1057" customWidth="1"/>
    <col min="10775" max="10775" width="18.5703125" style="1057" customWidth="1"/>
    <col min="10776" max="10776" width="16.7109375" style="1057" customWidth="1"/>
    <col min="10777" max="10777" width="10.42578125" style="1057" customWidth="1"/>
    <col min="10778" max="10778" width="10.5703125" style="1057" customWidth="1"/>
    <col min="10779" max="10779" width="9.28515625" style="1057" customWidth="1"/>
    <col min="10780" max="10780" width="10.140625" style="1057" customWidth="1"/>
    <col min="10781" max="10781" width="8.42578125" style="1057" customWidth="1"/>
    <col min="10782" max="10782" width="9.5703125" style="1057" customWidth="1"/>
    <col min="10783" max="10783" width="9.28515625" style="1057" customWidth="1"/>
    <col min="10784" max="10784" width="8.85546875" style="1057" customWidth="1"/>
    <col min="10785" max="10787" width="8" style="1057" customWidth="1"/>
    <col min="10788" max="10788" width="8.7109375" style="1057" customWidth="1"/>
    <col min="10789" max="10789" width="8.140625" style="1057" customWidth="1"/>
    <col min="10790" max="10790" width="10.5703125" style="1057" customWidth="1"/>
    <col min="10791" max="10791" width="9.85546875" style="1057" customWidth="1"/>
    <col min="10792" max="10792" width="13.140625" style="1057" customWidth="1"/>
    <col min="10793" max="10793" width="25.42578125" style="1057" customWidth="1"/>
    <col min="10794" max="10794" width="30.85546875" style="1057" customWidth="1"/>
    <col min="10795" max="10795" width="27.42578125" style="1057" customWidth="1"/>
    <col min="10796" max="11008" width="11.42578125" style="1057"/>
    <col min="11009" max="11009" width="13" style="1057" bestFit="1" customWidth="1"/>
    <col min="11010" max="11010" width="6.85546875" style="1057" customWidth="1"/>
    <col min="11011" max="11011" width="14.28515625" style="1057" customWidth="1"/>
    <col min="11012" max="11012" width="14" style="1057" customWidth="1"/>
    <col min="11013" max="11013" width="17.85546875" style="1057" customWidth="1"/>
    <col min="11014" max="11014" width="3.5703125" style="1057" customWidth="1"/>
    <col min="11015" max="11015" width="13.28515625" style="1057" customWidth="1"/>
    <col min="11016" max="11016" width="5.85546875" style="1057" customWidth="1"/>
    <col min="11017" max="11017" width="23.28515625" style="1057" customWidth="1"/>
    <col min="11018" max="11018" width="17.140625" style="1057" customWidth="1"/>
    <col min="11019" max="11019" width="50.5703125" style="1057" customWidth="1"/>
    <col min="11020" max="11020" width="28.7109375" style="1057" customWidth="1"/>
    <col min="11021" max="11021" width="25.140625" style="1057" customWidth="1"/>
    <col min="11022" max="11022" width="36.7109375" style="1057" customWidth="1"/>
    <col min="11023" max="11024" width="24.5703125" style="1057" customWidth="1"/>
    <col min="11025" max="11025" width="17.85546875" style="1057" customWidth="1"/>
    <col min="11026" max="11026" width="27.5703125" style="1057" bestFit="1" customWidth="1"/>
    <col min="11027" max="11027" width="37.28515625" style="1057" customWidth="1"/>
    <col min="11028" max="11028" width="48.42578125" style="1057" customWidth="1"/>
    <col min="11029" max="11029" width="32" style="1057" customWidth="1"/>
    <col min="11030" max="11030" width="32.7109375" style="1057" customWidth="1"/>
    <col min="11031" max="11031" width="18.5703125" style="1057" customWidth="1"/>
    <col min="11032" max="11032" width="16.7109375" style="1057" customWidth="1"/>
    <col min="11033" max="11033" width="10.42578125" style="1057" customWidth="1"/>
    <col min="11034" max="11034" width="10.5703125" style="1057" customWidth="1"/>
    <col min="11035" max="11035" width="9.28515625" style="1057" customWidth="1"/>
    <col min="11036" max="11036" width="10.140625" style="1057" customWidth="1"/>
    <col min="11037" max="11037" width="8.42578125" style="1057" customWidth="1"/>
    <col min="11038" max="11038" width="9.5703125" style="1057" customWidth="1"/>
    <col min="11039" max="11039" width="9.28515625" style="1057" customWidth="1"/>
    <col min="11040" max="11040" width="8.85546875" style="1057" customWidth="1"/>
    <col min="11041" max="11043" width="8" style="1057" customWidth="1"/>
    <col min="11044" max="11044" width="8.7109375" style="1057" customWidth="1"/>
    <col min="11045" max="11045" width="8.140625" style="1057" customWidth="1"/>
    <col min="11046" max="11046" width="10.5703125" style="1057" customWidth="1"/>
    <col min="11047" max="11047" width="9.85546875" style="1057" customWidth="1"/>
    <col min="11048" max="11048" width="13.140625" style="1057" customWidth="1"/>
    <col min="11049" max="11049" width="25.42578125" style="1057" customWidth="1"/>
    <col min="11050" max="11050" width="30.85546875" style="1057" customWidth="1"/>
    <col min="11051" max="11051" width="27.42578125" style="1057" customWidth="1"/>
    <col min="11052" max="11264" width="11.42578125" style="1057"/>
    <col min="11265" max="11265" width="13" style="1057" bestFit="1" customWidth="1"/>
    <col min="11266" max="11266" width="6.85546875" style="1057" customWidth="1"/>
    <col min="11267" max="11267" width="14.28515625" style="1057" customWidth="1"/>
    <col min="11268" max="11268" width="14" style="1057" customWidth="1"/>
    <col min="11269" max="11269" width="17.85546875" style="1057" customWidth="1"/>
    <col min="11270" max="11270" width="3.5703125" style="1057" customWidth="1"/>
    <col min="11271" max="11271" width="13.28515625" style="1057" customWidth="1"/>
    <col min="11272" max="11272" width="5.85546875" style="1057" customWidth="1"/>
    <col min="11273" max="11273" width="23.28515625" style="1057" customWidth="1"/>
    <col min="11274" max="11274" width="17.140625" style="1057" customWidth="1"/>
    <col min="11275" max="11275" width="50.5703125" style="1057" customWidth="1"/>
    <col min="11276" max="11276" width="28.7109375" style="1057" customWidth="1"/>
    <col min="11277" max="11277" width="25.140625" style="1057" customWidth="1"/>
    <col min="11278" max="11278" width="36.7109375" style="1057" customWidth="1"/>
    <col min="11279" max="11280" width="24.5703125" style="1057" customWidth="1"/>
    <col min="11281" max="11281" width="17.85546875" style="1057" customWidth="1"/>
    <col min="11282" max="11282" width="27.5703125" style="1057" bestFit="1" customWidth="1"/>
    <col min="11283" max="11283" width="37.28515625" style="1057" customWidth="1"/>
    <col min="11284" max="11284" width="48.42578125" style="1057" customWidth="1"/>
    <col min="11285" max="11285" width="32" style="1057" customWidth="1"/>
    <col min="11286" max="11286" width="32.7109375" style="1057" customWidth="1"/>
    <col min="11287" max="11287" width="18.5703125" style="1057" customWidth="1"/>
    <col min="11288" max="11288" width="16.7109375" style="1057" customWidth="1"/>
    <col min="11289" max="11289" width="10.42578125" style="1057" customWidth="1"/>
    <col min="11290" max="11290" width="10.5703125" style="1057" customWidth="1"/>
    <col min="11291" max="11291" width="9.28515625" style="1057" customWidth="1"/>
    <col min="11292" max="11292" width="10.140625" style="1057" customWidth="1"/>
    <col min="11293" max="11293" width="8.42578125" style="1057" customWidth="1"/>
    <col min="11294" max="11294" width="9.5703125" style="1057" customWidth="1"/>
    <col min="11295" max="11295" width="9.28515625" style="1057" customWidth="1"/>
    <col min="11296" max="11296" width="8.85546875" style="1057" customWidth="1"/>
    <col min="11297" max="11299" width="8" style="1057" customWidth="1"/>
    <col min="11300" max="11300" width="8.7109375" style="1057" customWidth="1"/>
    <col min="11301" max="11301" width="8.140625" style="1057" customWidth="1"/>
    <col min="11302" max="11302" width="10.5703125" style="1057" customWidth="1"/>
    <col min="11303" max="11303" width="9.85546875" style="1057" customWidth="1"/>
    <col min="11304" max="11304" width="13.140625" style="1057" customWidth="1"/>
    <col min="11305" max="11305" width="25.42578125" style="1057" customWidth="1"/>
    <col min="11306" max="11306" width="30.85546875" style="1057" customWidth="1"/>
    <col min="11307" max="11307" width="27.42578125" style="1057" customWidth="1"/>
    <col min="11308" max="11520" width="11.42578125" style="1057"/>
    <col min="11521" max="11521" width="13" style="1057" bestFit="1" customWidth="1"/>
    <col min="11522" max="11522" width="6.85546875" style="1057" customWidth="1"/>
    <col min="11523" max="11523" width="14.28515625" style="1057" customWidth="1"/>
    <col min="11524" max="11524" width="14" style="1057" customWidth="1"/>
    <col min="11525" max="11525" width="17.85546875" style="1057" customWidth="1"/>
    <col min="11526" max="11526" width="3.5703125" style="1057" customWidth="1"/>
    <col min="11527" max="11527" width="13.28515625" style="1057" customWidth="1"/>
    <col min="11528" max="11528" width="5.85546875" style="1057" customWidth="1"/>
    <col min="11529" max="11529" width="23.28515625" style="1057" customWidth="1"/>
    <col min="11530" max="11530" width="17.140625" style="1057" customWidth="1"/>
    <col min="11531" max="11531" width="50.5703125" style="1057" customWidth="1"/>
    <col min="11532" max="11532" width="28.7109375" style="1057" customWidth="1"/>
    <col min="11533" max="11533" width="25.140625" style="1057" customWidth="1"/>
    <col min="11534" max="11534" width="36.7109375" style="1057" customWidth="1"/>
    <col min="11535" max="11536" width="24.5703125" style="1057" customWidth="1"/>
    <col min="11537" max="11537" width="17.85546875" style="1057" customWidth="1"/>
    <col min="11538" max="11538" width="27.5703125" style="1057" bestFit="1" customWidth="1"/>
    <col min="11539" max="11539" width="37.28515625" style="1057" customWidth="1"/>
    <col min="11540" max="11540" width="48.42578125" style="1057" customWidth="1"/>
    <col min="11541" max="11541" width="32" style="1057" customWidth="1"/>
    <col min="11542" max="11542" width="32.7109375" style="1057" customWidth="1"/>
    <col min="11543" max="11543" width="18.5703125" style="1057" customWidth="1"/>
    <col min="11544" max="11544" width="16.7109375" style="1057" customWidth="1"/>
    <col min="11545" max="11545" width="10.42578125" style="1057" customWidth="1"/>
    <col min="11546" max="11546" width="10.5703125" style="1057" customWidth="1"/>
    <col min="11547" max="11547" width="9.28515625" style="1057" customWidth="1"/>
    <col min="11548" max="11548" width="10.140625" style="1057" customWidth="1"/>
    <col min="11549" max="11549" width="8.42578125" style="1057" customWidth="1"/>
    <col min="11550" max="11550" width="9.5703125" style="1057" customWidth="1"/>
    <col min="11551" max="11551" width="9.28515625" style="1057" customWidth="1"/>
    <col min="11552" max="11552" width="8.85546875" style="1057" customWidth="1"/>
    <col min="11553" max="11555" width="8" style="1057" customWidth="1"/>
    <col min="11556" max="11556" width="8.7109375" style="1057" customWidth="1"/>
    <col min="11557" max="11557" width="8.140625" style="1057" customWidth="1"/>
    <col min="11558" max="11558" width="10.5703125" style="1057" customWidth="1"/>
    <col min="11559" max="11559" width="9.85546875" style="1057" customWidth="1"/>
    <col min="11560" max="11560" width="13.140625" style="1057" customWidth="1"/>
    <col min="11561" max="11561" width="25.42578125" style="1057" customWidth="1"/>
    <col min="11562" max="11562" width="30.85546875" style="1057" customWidth="1"/>
    <col min="11563" max="11563" width="27.42578125" style="1057" customWidth="1"/>
    <col min="11564" max="11776" width="11.42578125" style="1057"/>
    <col min="11777" max="11777" width="13" style="1057" bestFit="1" customWidth="1"/>
    <col min="11778" max="11778" width="6.85546875" style="1057" customWidth="1"/>
    <col min="11779" max="11779" width="14.28515625" style="1057" customWidth="1"/>
    <col min="11780" max="11780" width="14" style="1057" customWidth="1"/>
    <col min="11781" max="11781" width="17.85546875" style="1057" customWidth="1"/>
    <col min="11782" max="11782" width="3.5703125" style="1057" customWidth="1"/>
    <col min="11783" max="11783" width="13.28515625" style="1057" customWidth="1"/>
    <col min="11784" max="11784" width="5.85546875" style="1057" customWidth="1"/>
    <col min="11785" max="11785" width="23.28515625" style="1057" customWidth="1"/>
    <col min="11786" max="11786" width="17.140625" style="1057" customWidth="1"/>
    <col min="11787" max="11787" width="50.5703125" style="1057" customWidth="1"/>
    <col min="11788" max="11788" width="28.7109375" style="1057" customWidth="1"/>
    <col min="11789" max="11789" width="25.140625" style="1057" customWidth="1"/>
    <col min="11790" max="11790" width="36.7109375" style="1057" customWidth="1"/>
    <col min="11791" max="11792" width="24.5703125" style="1057" customWidth="1"/>
    <col min="11793" max="11793" width="17.85546875" style="1057" customWidth="1"/>
    <col min="11794" max="11794" width="27.5703125" style="1057" bestFit="1" customWidth="1"/>
    <col min="11795" max="11795" width="37.28515625" style="1057" customWidth="1"/>
    <col min="11796" max="11796" width="48.42578125" style="1057" customWidth="1"/>
    <col min="11797" max="11797" width="32" style="1057" customWidth="1"/>
    <col min="11798" max="11798" width="32.7109375" style="1057" customWidth="1"/>
    <col min="11799" max="11799" width="18.5703125" style="1057" customWidth="1"/>
    <col min="11800" max="11800" width="16.7109375" style="1057" customWidth="1"/>
    <col min="11801" max="11801" width="10.42578125" style="1057" customWidth="1"/>
    <col min="11802" max="11802" width="10.5703125" style="1057" customWidth="1"/>
    <col min="11803" max="11803" width="9.28515625" style="1057" customWidth="1"/>
    <col min="11804" max="11804" width="10.140625" style="1057" customWidth="1"/>
    <col min="11805" max="11805" width="8.42578125" style="1057" customWidth="1"/>
    <col min="11806" max="11806" width="9.5703125" style="1057" customWidth="1"/>
    <col min="11807" max="11807" width="9.28515625" style="1057" customWidth="1"/>
    <col min="11808" max="11808" width="8.85546875" style="1057" customWidth="1"/>
    <col min="11809" max="11811" width="8" style="1057" customWidth="1"/>
    <col min="11812" max="11812" width="8.7109375" style="1057" customWidth="1"/>
    <col min="11813" max="11813" width="8.140625" style="1057" customWidth="1"/>
    <col min="11814" max="11814" width="10.5703125" style="1057" customWidth="1"/>
    <col min="11815" max="11815" width="9.85546875" style="1057" customWidth="1"/>
    <col min="11816" max="11816" width="13.140625" style="1057" customWidth="1"/>
    <col min="11817" max="11817" width="25.42578125" style="1057" customWidth="1"/>
    <col min="11818" max="11818" width="30.85546875" style="1057" customWidth="1"/>
    <col min="11819" max="11819" width="27.42578125" style="1057" customWidth="1"/>
    <col min="11820" max="12032" width="11.42578125" style="1057"/>
    <col min="12033" max="12033" width="13" style="1057" bestFit="1" customWidth="1"/>
    <col min="12034" max="12034" width="6.85546875" style="1057" customWidth="1"/>
    <col min="12035" max="12035" width="14.28515625" style="1057" customWidth="1"/>
    <col min="12036" max="12036" width="14" style="1057" customWidth="1"/>
    <col min="12037" max="12037" width="17.85546875" style="1057" customWidth="1"/>
    <col min="12038" max="12038" width="3.5703125" style="1057" customWidth="1"/>
    <col min="12039" max="12039" width="13.28515625" style="1057" customWidth="1"/>
    <col min="12040" max="12040" width="5.85546875" style="1057" customWidth="1"/>
    <col min="12041" max="12041" width="23.28515625" style="1057" customWidth="1"/>
    <col min="12042" max="12042" width="17.140625" style="1057" customWidth="1"/>
    <col min="12043" max="12043" width="50.5703125" style="1057" customWidth="1"/>
    <col min="12044" max="12044" width="28.7109375" style="1057" customWidth="1"/>
    <col min="12045" max="12045" width="25.140625" style="1057" customWidth="1"/>
    <col min="12046" max="12046" width="36.7109375" style="1057" customWidth="1"/>
    <col min="12047" max="12048" width="24.5703125" style="1057" customWidth="1"/>
    <col min="12049" max="12049" width="17.85546875" style="1057" customWidth="1"/>
    <col min="12050" max="12050" width="27.5703125" style="1057" bestFit="1" customWidth="1"/>
    <col min="12051" max="12051" width="37.28515625" style="1057" customWidth="1"/>
    <col min="12052" max="12052" width="48.42578125" style="1057" customWidth="1"/>
    <col min="12053" max="12053" width="32" style="1057" customWidth="1"/>
    <col min="12054" max="12054" width="32.7109375" style="1057" customWidth="1"/>
    <col min="12055" max="12055" width="18.5703125" style="1057" customWidth="1"/>
    <col min="12056" max="12056" width="16.7109375" style="1057" customWidth="1"/>
    <col min="12057" max="12057" width="10.42578125" style="1057" customWidth="1"/>
    <col min="12058" max="12058" width="10.5703125" style="1057" customWidth="1"/>
    <col min="12059" max="12059" width="9.28515625" style="1057" customWidth="1"/>
    <col min="12060" max="12060" width="10.140625" style="1057" customWidth="1"/>
    <col min="12061" max="12061" width="8.42578125" style="1057" customWidth="1"/>
    <col min="12062" max="12062" width="9.5703125" style="1057" customWidth="1"/>
    <col min="12063" max="12063" width="9.28515625" style="1057" customWidth="1"/>
    <col min="12064" max="12064" width="8.85546875" style="1057" customWidth="1"/>
    <col min="12065" max="12067" width="8" style="1057" customWidth="1"/>
    <col min="12068" max="12068" width="8.7109375" style="1057" customWidth="1"/>
    <col min="12069" max="12069" width="8.140625" style="1057" customWidth="1"/>
    <col min="12070" max="12070" width="10.5703125" style="1057" customWidth="1"/>
    <col min="12071" max="12071" width="9.85546875" style="1057" customWidth="1"/>
    <col min="12072" max="12072" width="13.140625" style="1057" customWidth="1"/>
    <col min="12073" max="12073" width="25.42578125" style="1057" customWidth="1"/>
    <col min="12074" max="12074" width="30.85546875" style="1057" customWidth="1"/>
    <col min="12075" max="12075" width="27.42578125" style="1057" customWidth="1"/>
    <col min="12076" max="12288" width="11.42578125" style="1057"/>
    <col min="12289" max="12289" width="13" style="1057" bestFit="1" customWidth="1"/>
    <col min="12290" max="12290" width="6.85546875" style="1057" customWidth="1"/>
    <col min="12291" max="12291" width="14.28515625" style="1057" customWidth="1"/>
    <col min="12292" max="12292" width="14" style="1057" customWidth="1"/>
    <col min="12293" max="12293" width="17.85546875" style="1057" customWidth="1"/>
    <col min="12294" max="12294" width="3.5703125" style="1057" customWidth="1"/>
    <col min="12295" max="12295" width="13.28515625" style="1057" customWidth="1"/>
    <col min="12296" max="12296" width="5.85546875" style="1057" customWidth="1"/>
    <col min="12297" max="12297" width="23.28515625" style="1057" customWidth="1"/>
    <col min="12298" max="12298" width="17.140625" style="1057" customWidth="1"/>
    <col min="12299" max="12299" width="50.5703125" style="1057" customWidth="1"/>
    <col min="12300" max="12300" width="28.7109375" style="1057" customWidth="1"/>
    <col min="12301" max="12301" width="25.140625" style="1057" customWidth="1"/>
    <col min="12302" max="12302" width="36.7109375" style="1057" customWidth="1"/>
    <col min="12303" max="12304" width="24.5703125" style="1057" customWidth="1"/>
    <col min="12305" max="12305" width="17.85546875" style="1057" customWidth="1"/>
    <col min="12306" max="12306" width="27.5703125" style="1057" bestFit="1" customWidth="1"/>
    <col min="12307" max="12307" width="37.28515625" style="1057" customWidth="1"/>
    <col min="12308" max="12308" width="48.42578125" style="1057" customWidth="1"/>
    <col min="12309" max="12309" width="32" style="1057" customWidth="1"/>
    <col min="12310" max="12310" width="32.7109375" style="1057" customWidth="1"/>
    <col min="12311" max="12311" width="18.5703125" style="1057" customWidth="1"/>
    <col min="12312" max="12312" width="16.7109375" style="1057" customWidth="1"/>
    <col min="12313" max="12313" width="10.42578125" style="1057" customWidth="1"/>
    <col min="12314" max="12314" width="10.5703125" style="1057" customWidth="1"/>
    <col min="12315" max="12315" width="9.28515625" style="1057" customWidth="1"/>
    <col min="12316" max="12316" width="10.140625" style="1057" customWidth="1"/>
    <col min="12317" max="12317" width="8.42578125" style="1057" customWidth="1"/>
    <col min="12318" max="12318" width="9.5703125" style="1057" customWidth="1"/>
    <col min="12319" max="12319" width="9.28515625" style="1057" customWidth="1"/>
    <col min="12320" max="12320" width="8.85546875" style="1057" customWidth="1"/>
    <col min="12321" max="12323" width="8" style="1057" customWidth="1"/>
    <col min="12324" max="12324" width="8.7109375" style="1057" customWidth="1"/>
    <col min="12325" max="12325" width="8.140625" style="1057" customWidth="1"/>
    <col min="12326" max="12326" width="10.5703125" style="1057" customWidth="1"/>
    <col min="12327" max="12327" width="9.85546875" style="1057" customWidth="1"/>
    <col min="12328" max="12328" width="13.140625" style="1057" customWidth="1"/>
    <col min="12329" max="12329" width="25.42578125" style="1057" customWidth="1"/>
    <col min="12330" max="12330" width="30.85546875" style="1057" customWidth="1"/>
    <col min="12331" max="12331" width="27.42578125" style="1057" customWidth="1"/>
    <col min="12332" max="12544" width="11.42578125" style="1057"/>
    <col min="12545" max="12545" width="13" style="1057" bestFit="1" customWidth="1"/>
    <col min="12546" max="12546" width="6.85546875" style="1057" customWidth="1"/>
    <col min="12547" max="12547" width="14.28515625" style="1057" customWidth="1"/>
    <col min="12548" max="12548" width="14" style="1057" customWidth="1"/>
    <col min="12549" max="12549" width="17.85546875" style="1057" customWidth="1"/>
    <col min="12550" max="12550" width="3.5703125" style="1057" customWidth="1"/>
    <col min="12551" max="12551" width="13.28515625" style="1057" customWidth="1"/>
    <col min="12552" max="12552" width="5.85546875" style="1057" customWidth="1"/>
    <col min="12553" max="12553" width="23.28515625" style="1057" customWidth="1"/>
    <col min="12554" max="12554" width="17.140625" style="1057" customWidth="1"/>
    <col min="12555" max="12555" width="50.5703125" style="1057" customWidth="1"/>
    <col min="12556" max="12556" width="28.7109375" style="1057" customWidth="1"/>
    <col min="12557" max="12557" width="25.140625" style="1057" customWidth="1"/>
    <col min="12558" max="12558" width="36.7109375" style="1057" customWidth="1"/>
    <col min="12559" max="12560" width="24.5703125" style="1057" customWidth="1"/>
    <col min="12561" max="12561" width="17.85546875" style="1057" customWidth="1"/>
    <col min="12562" max="12562" width="27.5703125" style="1057" bestFit="1" customWidth="1"/>
    <col min="12563" max="12563" width="37.28515625" style="1057" customWidth="1"/>
    <col min="12564" max="12564" width="48.42578125" style="1057" customWidth="1"/>
    <col min="12565" max="12565" width="32" style="1057" customWidth="1"/>
    <col min="12566" max="12566" width="32.7109375" style="1057" customWidth="1"/>
    <col min="12567" max="12567" width="18.5703125" style="1057" customWidth="1"/>
    <col min="12568" max="12568" width="16.7109375" style="1057" customWidth="1"/>
    <col min="12569" max="12569" width="10.42578125" style="1057" customWidth="1"/>
    <col min="12570" max="12570" width="10.5703125" style="1057" customWidth="1"/>
    <col min="12571" max="12571" width="9.28515625" style="1057" customWidth="1"/>
    <col min="12572" max="12572" width="10.140625" style="1057" customWidth="1"/>
    <col min="12573" max="12573" width="8.42578125" style="1057" customWidth="1"/>
    <col min="12574" max="12574" width="9.5703125" style="1057" customWidth="1"/>
    <col min="12575" max="12575" width="9.28515625" style="1057" customWidth="1"/>
    <col min="12576" max="12576" width="8.85546875" style="1057" customWidth="1"/>
    <col min="12577" max="12579" width="8" style="1057" customWidth="1"/>
    <col min="12580" max="12580" width="8.7109375" style="1057" customWidth="1"/>
    <col min="12581" max="12581" width="8.140625" style="1057" customWidth="1"/>
    <col min="12582" max="12582" width="10.5703125" style="1057" customWidth="1"/>
    <col min="12583" max="12583" width="9.85546875" style="1057" customWidth="1"/>
    <col min="12584" max="12584" width="13.140625" style="1057" customWidth="1"/>
    <col min="12585" max="12585" width="25.42578125" style="1057" customWidth="1"/>
    <col min="12586" max="12586" width="30.85546875" style="1057" customWidth="1"/>
    <col min="12587" max="12587" width="27.42578125" style="1057" customWidth="1"/>
    <col min="12588" max="12800" width="11.42578125" style="1057"/>
    <col min="12801" max="12801" width="13" style="1057" bestFit="1" customWidth="1"/>
    <col min="12802" max="12802" width="6.85546875" style="1057" customWidth="1"/>
    <col min="12803" max="12803" width="14.28515625" style="1057" customWidth="1"/>
    <col min="12804" max="12804" width="14" style="1057" customWidth="1"/>
    <col min="12805" max="12805" width="17.85546875" style="1057" customWidth="1"/>
    <col min="12806" max="12806" width="3.5703125" style="1057" customWidth="1"/>
    <col min="12807" max="12807" width="13.28515625" style="1057" customWidth="1"/>
    <col min="12808" max="12808" width="5.85546875" style="1057" customWidth="1"/>
    <col min="12809" max="12809" width="23.28515625" style="1057" customWidth="1"/>
    <col min="12810" max="12810" width="17.140625" style="1057" customWidth="1"/>
    <col min="12811" max="12811" width="50.5703125" style="1057" customWidth="1"/>
    <col min="12812" max="12812" width="28.7109375" style="1057" customWidth="1"/>
    <col min="12813" max="12813" width="25.140625" style="1057" customWidth="1"/>
    <col min="12814" max="12814" width="36.7109375" style="1057" customWidth="1"/>
    <col min="12815" max="12816" width="24.5703125" style="1057" customWidth="1"/>
    <col min="12817" max="12817" width="17.85546875" style="1057" customWidth="1"/>
    <col min="12818" max="12818" width="27.5703125" style="1057" bestFit="1" customWidth="1"/>
    <col min="12819" max="12819" width="37.28515625" style="1057" customWidth="1"/>
    <col min="12820" max="12820" width="48.42578125" style="1057" customWidth="1"/>
    <col min="12821" max="12821" width="32" style="1057" customWidth="1"/>
    <col min="12822" max="12822" width="32.7109375" style="1057" customWidth="1"/>
    <col min="12823" max="12823" width="18.5703125" style="1057" customWidth="1"/>
    <col min="12824" max="12824" width="16.7109375" style="1057" customWidth="1"/>
    <col min="12825" max="12825" width="10.42578125" style="1057" customWidth="1"/>
    <col min="12826" max="12826" width="10.5703125" style="1057" customWidth="1"/>
    <col min="12827" max="12827" width="9.28515625" style="1057" customWidth="1"/>
    <col min="12828" max="12828" width="10.140625" style="1057" customWidth="1"/>
    <col min="12829" max="12829" width="8.42578125" style="1057" customWidth="1"/>
    <col min="12830" max="12830" width="9.5703125" style="1057" customWidth="1"/>
    <col min="12831" max="12831" width="9.28515625" style="1057" customWidth="1"/>
    <col min="12832" max="12832" width="8.85546875" style="1057" customWidth="1"/>
    <col min="12833" max="12835" width="8" style="1057" customWidth="1"/>
    <col min="12836" max="12836" width="8.7109375" style="1057" customWidth="1"/>
    <col min="12837" max="12837" width="8.140625" style="1057" customWidth="1"/>
    <col min="12838" max="12838" width="10.5703125" style="1057" customWidth="1"/>
    <col min="12839" max="12839" width="9.85546875" style="1057" customWidth="1"/>
    <col min="12840" max="12840" width="13.140625" style="1057" customWidth="1"/>
    <col min="12841" max="12841" width="25.42578125" style="1057" customWidth="1"/>
    <col min="12842" max="12842" width="30.85546875" style="1057" customWidth="1"/>
    <col min="12843" max="12843" width="27.42578125" style="1057" customWidth="1"/>
    <col min="12844" max="13056" width="11.42578125" style="1057"/>
    <col min="13057" max="13057" width="13" style="1057" bestFit="1" customWidth="1"/>
    <col min="13058" max="13058" width="6.85546875" style="1057" customWidth="1"/>
    <col min="13059" max="13059" width="14.28515625" style="1057" customWidth="1"/>
    <col min="13060" max="13060" width="14" style="1057" customWidth="1"/>
    <col min="13061" max="13061" width="17.85546875" style="1057" customWidth="1"/>
    <col min="13062" max="13062" width="3.5703125" style="1057" customWidth="1"/>
    <col min="13063" max="13063" width="13.28515625" style="1057" customWidth="1"/>
    <col min="13064" max="13064" width="5.85546875" style="1057" customWidth="1"/>
    <col min="13065" max="13065" width="23.28515625" style="1057" customWidth="1"/>
    <col min="13066" max="13066" width="17.140625" style="1057" customWidth="1"/>
    <col min="13067" max="13067" width="50.5703125" style="1057" customWidth="1"/>
    <col min="13068" max="13068" width="28.7109375" style="1057" customWidth="1"/>
    <col min="13069" max="13069" width="25.140625" style="1057" customWidth="1"/>
    <col min="13070" max="13070" width="36.7109375" style="1057" customWidth="1"/>
    <col min="13071" max="13072" width="24.5703125" style="1057" customWidth="1"/>
    <col min="13073" max="13073" width="17.85546875" style="1057" customWidth="1"/>
    <col min="13074" max="13074" width="27.5703125" style="1057" bestFit="1" customWidth="1"/>
    <col min="13075" max="13075" width="37.28515625" style="1057" customWidth="1"/>
    <col min="13076" max="13076" width="48.42578125" style="1057" customWidth="1"/>
    <col min="13077" max="13077" width="32" style="1057" customWidth="1"/>
    <col min="13078" max="13078" width="32.7109375" style="1057" customWidth="1"/>
    <col min="13079" max="13079" width="18.5703125" style="1057" customWidth="1"/>
    <col min="13080" max="13080" width="16.7109375" style="1057" customWidth="1"/>
    <col min="13081" max="13081" width="10.42578125" style="1057" customWidth="1"/>
    <col min="13082" max="13082" width="10.5703125" style="1057" customWidth="1"/>
    <col min="13083" max="13083" width="9.28515625" style="1057" customWidth="1"/>
    <col min="13084" max="13084" width="10.140625" style="1057" customWidth="1"/>
    <col min="13085" max="13085" width="8.42578125" style="1057" customWidth="1"/>
    <col min="13086" max="13086" width="9.5703125" style="1057" customWidth="1"/>
    <col min="13087" max="13087" width="9.28515625" style="1057" customWidth="1"/>
    <col min="13088" max="13088" width="8.85546875" style="1057" customWidth="1"/>
    <col min="13089" max="13091" width="8" style="1057" customWidth="1"/>
    <col min="13092" max="13092" width="8.7109375" style="1057" customWidth="1"/>
    <col min="13093" max="13093" width="8.140625" style="1057" customWidth="1"/>
    <col min="13094" max="13094" width="10.5703125" style="1057" customWidth="1"/>
    <col min="13095" max="13095" width="9.85546875" style="1057" customWidth="1"/>
    <col min="13096" max="13096" width="13.140625" style="1057" customWidth="1"/>
    <col min="13097" max="13097" width="25.42578125" style="1057" customWidth="1"/>
    <col min="13098" max="13098" width="30.85546875" style="1057" customWidth="1"/>
    <col min="13099" max="13099" width="27.42578125" style="1057" customWidth="1"/>
    <col min="13100" max="13312" width="11.42578125" style="1057"/>
    <col min="13313" max="13313" width="13" style="1057" bestFit="1" customWidth="1"/>
    <col min="13314" max="13314" width="6.85546875" style="1057" customWidth="1"/>
    <col min="13315" max="13315" width="14.28515625" style="1057" customWidth="1"/>
    <col min="13316" max="13316" width="14" style="1057" customWidth="1"/>
    <col min="13317" max="13317" width="17.85546875" style="1057" customWidth="1"/>
    <col min="13318" max="13318" width="3.5703125" style="1057" customWidth="1"/>
    <col min="13319" max="13319" width="13.28515625" style="1057" customWidth="1"/>
    <col min="13320" max="13320" width="5.85546875" style="1057" customWidth="1"/>
    <col min="13321" max="13321" width="23.28515625" style="1057" customWidth="1"/>
    <col min="13322" max="13322" width="17.140625" style="1057" customWidth="1"/>
    <col min="13323" max="13323" width="50.5703125" style="1057" customWidth="1"/>
    <col min="13324" max="13324" width="28.7109375" style="1057" customWidth="1"/>
    <col min="13325" max="13325" width="25.140625" style="1057" customWidth="1"/>
    <col min="13326" max="13326" width="36.7109375" style="1057" customWidth="1"/>
    <col min="13327" max="13328" width="24.5703125" style="1057" customWidth="1"/>
    <col min="13329" max="13329" width="17.85546875" style="1057" customWidth="1"/>
    <col min="13330" max="13330" width="27.5703125" style="1057" bestFit="1" customWidth="1"/>
    <col min="13331" max="13331" width="37.28515625" style="1057" customWidth="1"/>
    <col min="13332" max="13332" width="48.42578125" style="1057" customWidth="1"/>
    <col min="13333" max="13333" width="32" style="1057" customWidth="1"/>
    <col min="13334" max="13334" width="32.7109375" style="1057" customWidth="1"/>
    <col min="13335" max="13335" width="18.5703125" style="1057" customWidth="1"/>
    <col min="13336" max="13336" width="16.7109375" style="1057" customWidth="1"/>
    <col min="13337" max="13337" width="10.42578125" style="1057" customWidth="1"/>
    <col min="13338" max="13338" width="10.5703125" style="1057" customWidth="1"/>
    <col min="13339" max="13339" width="9.28515625" style="1057" customWidth="1"/>
    <col min="13340" max="13340" width="10.140625" style="1057" customWidth="1"/>
    <col min="13341" max="13341" width="8.42578125" style="1057" customWidth="1"/>
    <col min="13342" max="13342" width="9.5703125" style="1057" customWidth="1"/>
    <col min="13343" max="13343" width="9.28515625" style="1057" customWidth="1"/>
    <col min="13344" max="13344" width="8.85546875" style="1057" customWidth="1"/>
    <col min="13345" max="13347" width="8" style="1057" customWidth="1"/>
    <col min="13348" max="13348" width="8.7109375" style="1057" customWidth="1"/>
    <col min="13349" max="13349" width="8.140625" style="1057" customWidth="1"/>
    <col min="13350" max="13350" width="10.5703125" style="1057" customWidth="1"/>
    <col min="13351" max="13351" width="9.85546875" style="1057" customWidth="1"/>
    <col min="13352" max="13352" width="13.140625" style="1057" customWidth="1"/>
    <col min="13353" max="13353" width="25.42578125" style="1057" customWidth="1"/>
    <col min="13354" max="13354" width="30.85546875" style="1057" customWidth="1"/>
    <col min="13355" max="13355" width="27.42578125" style="1057" customWidth="1"/>
    <col min="13356" max="13568" width="11.42578125" style="1057"/>
    <col min="13569" max="13569" width="13" style="1057" bestFit="1" customWidth="1"/>
    <col min="13570" max="13570" width="6.85546875" style="1057" customWidth="1"/>
    <col min="13571" max="13571" width="14.28515625" style="1057" customWidth="1"/>
    <col min="13572" max="13572" width="14" style="1057" customWidth="1"/>
    <col min="13573" max="13573" width="17.85546875" style="1057" customWidth="1"/>
    <col min="13574" max="13574" width="3.5703125" style="1057" customWidth="1"/>
    <col min="13575" max="13575" width="13.28515625" style="1057" customWidth="1"/>
    <col min="13576" max="13576" width="5.85546875" style="1057" customWidth="1"/>
    <col min="13577" max="13577" width="23.28515625" style="1057" customWidth="1"/>
    <col min="13578" max="13578" width="17.140625" style="1057" customWidth="1"/>
    <col min="13579" max="13579" width="50.5703125" style="1057" customWidth="1"/>
    <col min="13580" max="13580" width="28.7109375" style="1057" customWidth="1"/>
    <col min="13581" max="13581" width="25.140625" style="1057" customWidth="1"/>
    <col min="13582" max="13582" width="36.7109375" style="1057" customWidth="1"/>
    <col min="13583" max="13584" width="24.5703125" style="1057" customWidth="1"/>
    <col min="13585" max="13585" width="17.85546875" style="1057" customWidth="1"/>
    <col min="13586" max="13586" width="27.5703125" style="1057" bestFit="1" customWidth="1"/>
    <col min="13587" max="13587" width="37.28515625" style="1057" customWidth="1"/>
    <col min="13588" max="13588" width="48.42578125" style="1057" customWidth="1"/>
    <col min="13589" max="13589" width="32" style="1057" customWidth="1"/>
    <col min="13590" max="13590" width="32.7109375" style="1057" customWidth="1"/>
    <col min="13591" max="13591" width="18.5703125" style="1057" customWidth="1"/>
    <col min="13592" max="13592" width="16.7109375" style="1057" customWidth="1"/>
    <col min="13593" max="13593" width="10.42578125" style="1057" customWidth="1"/>
    <col min="13594" max="13594" width="10.5703125" style="1057" customWidth="1"/>
    <col min="13595" max="13595" width="9.28515625" style="1057" customWidth="1"/>
    <col min="13596" max="13596" width="10.140625" style="1057" customWidth="1"/>
    <col min="13597" max="13597" width="8.42578125" style="1057" customWidth="1"/>
    <col min="13598" max="13598" width="9.5703125" style="1057" customWidth="1"/>
    <col min="13599" max="13599" width="9.28515625" style="1057" customWidth="1"/>
    <col min="13600" max="13600" width="8.85546875" style="1057" customWidth="1"/>
    <col min="13601" max="13603" width="8" style="1057" customWidth="1"/>
    <col min="13604" max="13604" width="8.7109375" style="1057" customWidth="1"/>
    <col min="13605" max="13605" width="8.140625" style="1057" customWidth="1"/>
    <col min="13606" max="13606" width="10.5703125" style="1057" customWidth="1"/>
    <col min="13607" max="13607" width="9.85546875" style="1057" customWidth="1"/>
    <col min="13608" max="13608" width="13.140625" style="1057" customWidth="1"/>
    <col min="13609" max="13609" width="25.42578125" style="1057" customWidth="1"/>
    <col min="13610" max="13610" width="30.85546875" style="1057" customWidth="1"/>
    <col min="13611" max="13611" width="27.42578125" style="1057" customWidth="1"/>
    <col min="13612" max="13824" width="11.42578125" style="1057"/>
    <col min="13825" max="13825" width="13" style="1057" bestFit="1" customWidth="1"/>
    <col min="13826" max="13826" width="6.85546875" style="1057" customWidth="1"/>
    <col min="13827" max="13827" width="14.28515625" style="1057" customWidth="1"/>
    <col min="13828" max="13828" width="14" style="1057" customWidth="1"/>
    <col min="13829" max="13829" width="17.85546875" style="1057" customWidth="1"/>
    <col min="13830" max="13830" width="3.5703125" style="1057" customWidth="1"/>
    <col min="13831" max="13831" width="13.28515625" style="1057" customWidth="1"/>
    <col min="13832" max="13832" width="5.85546875" style="1057" customWidth="1"/>
    <col min="13833" max="13833" width="23.28515625" style="1057" customWidth="1"/>
    <col min="13834" max="13834" width="17.140625" style="1057" customWidth="1"/>
    <col min="13835" max="13835" width="50.5703125" style="1057" customWidth="1"/>
    <col min="13836" max="13836" width="28.7109375" style="1057" customWidth="1"/>
    <col min="13837" max="13837" width="25.140625" style="1057" customWidth="1"/>
    <col min="13838" max="13838" width="36.7109375" style="1057" customWidth="1"/>
    <col min="13839" max="13840" width="24.5703125" style="1057" customWidth="1"/>
    <col min="13841" max="13841" width="17.85546875" style="1057" customWidth="1"/>
    <col min="13842" max="13842" width="27.5703125" style="1057" bestFit="1" customWidth="1"/>
    <col min="13843" max="13843" width="37.28515625" style="1057" customWidth="1"/>
    <col min="13844" max="13844" width="48.42578125" style="1057" customWidth="1"/>
    <col min="13845" max="13845" width="32" style="1057" customWidth="1"/>
    <col min="13846" max="13846" width="32.7109375" style="1057" customWidth="1"/>
    <col min="13847" max="13847" width="18.5703125" style="1057" customWidth="1"/>
    <col min="13848" max="13848" width="16.7109375" style="1057" customWidth="1"/>
    <col min="13849" max="13849" width="10.42578125" style="1057" customWidth="1"/>
    <col min="13850" max="13850" width="10.5703125" style="1057" customWidth="1"/>
    <col min="13851" max="13851" width="9.28515625" style="1057" customWidth="1"/>
    <col min="13852" max="13852" width="10.140625" style="1057" customWidth="1"/>
    <col min="13853" max="13853" width="8.42578125" style="1057" customWidth="1"/>
    <col min="13854" max="13854" width="9.5703125" style="1057" customWidth="1"/>
    <col min="13855" max="13855" width="9.28515625" style="1057" customWidth="1"/>
    <col min="13856" max="13856" width="8.85546875" style="1057" customWidth="1"/>
    <col min="13857" max="13859" width="8" style="1057" customWidth="1"/>
    <col min="13860" max="13860" width="8.7109375" style="1057" customWidth="1"/>
    <col min="13861" max="13861" width="8.140625" style="1057" customWidth="1"/>
    <col min="13862" max="13862" width="10.5703125" style="1057" customWidth="1"/>
    <col min="13863" max="13863" width="9.85546875" style="1057" customWidth="1"/>
    <col min="13864" max="13864" width="13.140625" style="1057" customWidth="1"/>
    <col min="13865" max="13865" width="25.42578125" style="1057" customWidth="1"/>
    <col min="13866" max="13866" width="30.85546875" style="1057" customWidth="1"/>
    <col min="13867" max="13867" width="27.42578125" style="1057" customWidth="1"/>
    <col min="13868" max="14080" width="11.42578125" style="1057"/>
    <col min="14081" max="14081" width="13" style="1057" bestFit="1" customWidth="1"/>
    <col min="14082" max="14082" width="6.85546875" style="1057" customWidth="1"/>
    <col min="14083" max="14083" width="14.28515625" style="1057" customWidth="1"/>
    <col min="14084" max="14084" width="14" style="1057" customWidth="1"/>
    <col min="14085" max="14085" width="17.85546875" style="1057" customWidth="1"/>
    <col min="14086" max="14086" width="3.5703125" style="1057" customWidth="1"/>
    <col min="14087" max="14087" width="13.28515625" style="1057" customWidth="1"/>
    <col min="14088" max="14088" width="5.85546875" style="1057" customWidth="1"/>
    <col min="14089" max="14089" width="23.28515625" style="1057" customWidth="1"/>
    <col min="14090" max="14090" width="17.140625" style="1057" customWidth="1"/>
    <col min="14091" max="14091" width="50.5703125" style="1057" customWidth="1"/>
    <col min="14092" max="14092" width="28.7109375" style="1057" customWidth="1"/>
    <col min="14093" max="14093" width="25.140625" style="1057" customWidth="1"/>
    <col min="14094" max="14094" width="36.7109375" style="1057" customWidth="1"/>
    <col min="14095" max="14096" width="24.5703125" style="1057" customWidth="1"/>
    <col min="14097" max="14097" width="17.85546875" style="1057" customWidth="1"/>
    <col min="14098" max="14098" width="27.5703125" style="1057" bestFit="1" customWidth="1"/>
    <col min="14099" max="14099" width="37.28515625" style="1057" customWidth="1"/>
    <col min="14100" max="14100" width="48.42578125" style="1057" customWidth="1"/>
    <col min="14101" max="14101" width="32" style="1057" customWidth="1"/>
    <col min="14102" max="14102" width="32.7109375" style="1057" customWidth="1"/>
    <col min="14103" max="14103" width="18.5703125" style="1057" customWidth="1"/>
    <col min="14104" max="14104" width="16.7109375" style="1057" customWidth="1"/>
    <col min="14105" max="14105" width="10.42578125" style="1057" customWidth="1"/>
    <col min="14106" max="14106" width="10.5703125" style="1057" customWidth="1"/>
    <col min="14107" max="14107" width="9.28515625" style="1057" customWidth="1"/>
    <col min="14108" max="14108" width="10.140625" style="1057" customWidth="1"/>
    <col min="14109" max="14109" width="8.42578125" style="1057" customWidth="1"/>
    <col min="14110" max="14110" width="9.5703125" style="1057" customWidth="1"/>
    <col min="14111" max="14111" width="9.28515625" style="1057" customWidth="1"/>
    <col min="14112" max="14112" width="8.85546875" style="1057" customWidth="1"/>
    <col min="14113" max="14115" width="8" style="1057" customWidth="1"/>
    <col min="14116" max="14116" width="8.7109375" style="1057" customWidth="1"/>
    <col min="14117" max="14117" width="8.140625" style="1057" customWidth="1"/>
    <col min="14118" max="14118" width="10.5703125" style="1057" customWidth="1"/>
    <col min="14119" max="14119" width="9.85546875" style="1057" customWidth="1"/>
    <col min="14120" max="14120" width="13.140625" style="1057" customWidth="1"/>
    <col min="14121" max="14121" width="25.42578125" style="1057" customWidth="1"/>
    <col min="14122" max="14122" width="30.85546875" style="1057" customWidth="1"/>
    <col min="14123" max="14123" width="27.42578125" style="1057" customWidth="1"/>
    <col min="14124" max="14336" width="11.42578125" style="1057"/>
    <col min="14337" max="14337" width="13" style="1057" bestFit="1" customWidth="1"/>
    <col min="14338" max="14338" width="6.85546875" style="1057" customWidth="1"/>
    <col min="14339" max="14339" width="14.28515625" style="1057" customWidth="1"/>
    <col min="14340" max="14340" width="14" style="1057" customWidth="1"/>
    <col min="14341" max="14341" width="17.85546875" style="1057" customWidth="1"/>
    <col min="14342" max="14342" width="3.5703125" style="1057" customWidth="1"/>
    <col min="14343" max="14343" width="13.28515625" style="1057" customWidth="1"/>
    <col min="14344" max="14344" width="5.85546875" style="1057" customWidth="1"/>
    <col min="14345" max="14345" width="23.28515625" style="1057" customWidth="1"/>
    <col min="14346" max="14346" width="17.140625" style="1057" customWidth="1"/>
    <col min="14347" max="14347" width="50.5703125" style="1057" customWidth="1"/>
    <col min="14348" max="14348" width="28.7109375" style="1057" customWidth="1"/>
    <col min="14349" max="14349" width="25.140625" style="1057" customWidth="1"/>
    <col min="14350" max="14350" width="36.7109375" style="1057" customWidth="1"/>
    <col min="14351" max="14352" width="24.5703125" style="1057" customWidth="1"/>
    <col min="14353" max="14353" width="17.85546875" style="1057" customWidth="1"/>
    <col min="14354" max="14354" width="27.5703125" style="1057" bestFit="1" customWidth="1"/>
    <col min="14355" max="14355" width="37.28515625" style="1057" customWidth="1"/>
    <col min="14356" max="14356" width="48.42578125" style="1057" customWidth="1"/>
    <col min="14357" max="14357" width="32" style="1057" customWidth="1"/>
    <col min="14358" max="14358" width="32.7109375" style="1057" customWidth="1"/>
    <col min="14359" max="14359" width="18.5703125" style="1057" customWidth="1"/>
    <col min="14360" max="14360" width="16.7109375" style="1057" customWidth="1"/>
    <col min="14361" max="14361" width="10.42578125" style="1057" customWidth="1"/>
    <col min="14362" max="14362" width="10.5703125" style="1057" customWidth="1"/>
    <col min="14363" max="14363" width="9.28515625" style="1057" customWidth="1"/>
    <col min="14364" max="14364" width="10.140625" style="1057" customWidth="1"/>
    <col min="14365" max="14365" width="8.42578125" style="1057" customWidth="1"/>
    <col min="14366" max="14366" width="9.5703125" style="1057" customWidth="1"/>
    <col min="14367" max="14367" width="9.28515625" style="1057" customWidth="1"/>
    <col min="14368" max="14368" width="8.85546875" style="1057" customWidth="1"/>
    <col min="14369" max="14371" width="8" style="1057" customWidth="1"/>
    <col min="14372" max="14372" width="8.7109375" style="1057" customWidth="1"/>
    <col min="14373" max="14373" width="8.140625" style="1057" customWidth="1"/>
    <col min="14374" max="14374" width="10.5703125" style="1057" customWidth="1"/>
    <col min="14375" max="14375" width="9.85546875" style="1057" customWidth="1"/>
    <col min="14376" max="14376" width="13.140625" style="1057" customWidth="1"/>
    <col min="14377" max="14377" width="25.42578125" style="1057" customWidth="1"/>
    <col min="14378" max="14378" width="30.85546875" style="1057" customWidth="1"/>
    <col min="14379" max="14379" width="27.42578125" style="1057" customWidth="1"/>
    <col min="14380" max="14592" width="11.42578125" style="1057"/>
    <col min="14593" max="14593" width="13" style="1057" bestFit="1" customWidth="1"/>
    <col min="14594" max="14594" width="6.85546875" style="1057" customWidth="1"/>
    <col min="14595" max="14595" width="14.28515625" style="1057" customWidth="1"/>
    <col min="14596" max="14596" width="14" style="1057" customWidth="1"/>
    <col min="14597" max="14597" width="17.85546875" style="1057" customWidth="1"/>
    <col min="14598" max="14598" width="3.5703125" style="1057" customWidth="1"/>
    <col min="14599" max="14599" width="13.28515625" style="1057" customWidth="1"/>
    <col min="14600" max="14600" width="5.85546875" style="1057" customWidth="1"/>
    <col min="14601" max="14601" width="23.28515625" style="1057" customWidth="1"/>
    <col min="14602" max="14602" width="17.140625" style="1057" customWidth="1"/>
    <col min="14603" max="14603" width="50.5703125" style="1057" customWidth="1"/>
    <col min="14604" max="14604" width="28.7109375" style="1057" customWidth="1"/>
    <col min="14605" max="14605" width="25.140625" style="1057" customWidth="1"/>
    <col min="14606" max="14606" width="36.7109375" style="1057" customWidth="1"/>
    <col min="14607" max="14608" width="24.5703125" style="1057" customWidth="1"/>
    <col min="14609" max="14609" width="17.85546875" style="1057" customWidth="1"/>
    <col min="14610" max="14610" width="27.5703125" style="1057" bestFit="1" customWidth="1"/>
    <col min="14611" max="14611" width="37.28515625" style="1057" customWidth="1"/>
    <col min="14612" max="14612" width="48.42578125" style="1057" customWidth="1"/>
    <col min="14613" max="14613" width="32" style="1057" customWidth="1"/>
    <col min="14614" max="14614" width="32.7109375" style="1057" customWidth="1"/>
    <col min="14615" max="14615" width="18.5703125" style="1057" customWidth="1"/>
    <col min="14616" max="14616" width="16.7109375" style="1057" customWidth="1"/>
    <col min="14617" max="14617" width="10.42578125" style="1057" customWidth="1"/>
    <col min="14618" max="14618" width="10.5703125" style="1057" customWidth="1"/>
    <col min="14619" max="14619" width="9.28515625" style="1057" customWidth="1"/>
    <col min="14620" max="14620" width="10.140625" style="1057" customWidth="1"/>
    <col min="14621" max="14621" width="8.42578125" style="1057" customWidth="1"/>
    <col min="14622" max="14622" width="9.5703125" style="1057" customWidth="1"/>
    <col min="14623" max="14623" width="9.28515625" style="1057" customWidth="1"/>
    <col min="14624" max="14624" width="8.85546875" style="1057" customWidth="1"/>
    <col min="14625" max="14627" width="8" style="1057" customWidth="1"/>
    <col min="14628" max="14628" width="8.7109375" style="1057" customWidth="1"/>
    <col min="14629" max="14629" width="8.140625" style="1057" customWidth="1"/>
    <col min="14630" max="14630" width="10.5703125" style="1057" customWidth="1"/>
    <col min="14631" max="14631" width="9.85546875" style="1057" customWidth="1"/>
    <col min="14632" max="14632" width="13.140625" style="1057" customWidth="1"/>
    <col min="14633" max="14633" width="25.42578125" style="1057" customWidth="1"/>
    <col min="14634" max="14634" width="30.85546875" style="1057" customWidth="1"/>
    <col min="14635" max="14635" width="27.42578125" style="1057" customWidth="1"/>
    <col min="14636" max="14848" width="11.42578125" style="1057"/>
    <col min="14849" max="14849" width="13" style="1057" bestFit="1" customWidth="1"/>
    <col min="14850" max="14850" width="6.85546875" style="1057" customWidth="1"/>
    <col min="14851" max="14851" width="14.28515625" style="1057" customWidth="1"/>
    <col min="14852" max="14852" width="14" style="1057" customWidth="1"/>
    <col min="14853" max="14853" width="17.85546875" style="1057" customWidth="1"/>
    <col min="14854" max="14854" width="3.5703125" style="1057" customWidth="1"/>
    <col min="14855" max="14855" width="13.28515625" style="1057" customWidth="1"/>
    <col min="14856" max="14856" width="5.85546875" style="1057" customWidth="1"/>
    <col min="14857" max="14857" width="23.28515625" style="1057" customWidth="1"/>
    <col min="14858" max="14858" width="17.140625" style="1057" customWidth="1"/>
    <col min="14859" max="14859" width="50.5703125" style="1057" customWidth="1"/>
    <col min="14860" max="14860" width="28.7109375" style="1057" customWidth="1"/>
    <col min="14861" max="14861" width="25.140625" style="1057" customWidth="1"/>
    <col min="14862" max="14862" width="36.7109375" style="1057" customWidth="1"/>
    <col min="14863" max="14864" width="24.5703125" style="1057" customWidth="1"/>
    <col min="14865" max="14865" width="17.85546875" style="1057" customWidth="1"/>
    <col min="14866" max="14866" width="27.5703125" style="1057" bestFit="1" customWidth="1"/>
    <col min="14867" max="14867" width="37.28515625" style="1057" customWidth="1"/>
    <col min="14868" max="14868" width="48.42578125" style="1057" customWidth="1"/>
    <col min="14869" max="14869" width="32" style="1057" customWidth="1"/>
    <col min="14870" max="14870" width="32.7109375" style="1057" customWidth="1"/>
    <col min="14871" max="14871" width="18.5703125" style="1057" customWidth="1"/>
    <col min="14872" max="14872" width="16.7109375" style="1057" customWidth="1"/>
    <col min="14873" max="14873" width="10.42578125" style="1057" customWidth="1"/>
    <col min="14874" max="14874" width="10.5703125" style="1057" customWidth="1"/>
    <col min="14875" max="14875" width="9.28515625" style="1057" customWidth="1"/>
    <col min="14876" max="14876" width="10.140625" style="1057" customWidth="1"/>
    <col min="14877" max="14877" width="8.42578125" style="1057" customWidth="1"/>
    <col min="14878" max="14878" width="9.5703125" style="1057" customWidth="1"/>
    <col min="14879" max="14879" width="9.28515625" style="1057" customWidth="1"/>
    <col min="14880" max="14880" width="8.85546875" style="1057" customWidth="1"/>
    <col min="14881" max="14883" width="8" style="1057" customWidth="1"/>
    <col min="14884" max="14884" width="8.7109375" style="1057" customWidth="1"/>
    <col min="14885" max="14885" width="8.140625" style="1057" customWidth="1"/>
    <col min="14886" max="14886" width="10.5703125" style="1057" customWidth="1"/>
    <col min="14887" max="14887" width="9.85546875" style="1057" customWidth="1"/>
    <col min="14888" max="14888" width="13.140625" style="1057" customWidth="1"/>
    <col min="14889" max="14889" width="25.42578125" style="1057" customWidth="1"/>
    <col min="14890" max="14890" width="30.85546875" style="1057" customWidth="1"/>
    <col min="14891" max="14891" width="27.42578125" style="1057" customWidth="1"/>
    <col min="14892" max="15104" width="11.42578125" style="1057"/>
    <col min="15105" max="15105" width="13" style="1057" bestFit="1" customWidth="1"/>
    <col min="15106" max="15106" width="6.85546875" style="1057" customWidth="1"/>
    <col min="15107" max="15107" width="14.28515625" style="1057" customWidth="1"/>
    <col min="15108" max="15108" width="14" style="1057" customWidth="1"/>
    <col min="15109" max="15109" width="17.85546875" style="1057" customWidth="1"/>
    <col min="15110" max="15110" width="3.5703125" style="1057" customWidth="1"/>
    <col min="15111" max="15111" width="13.28515625" style="1057" customWidth="1"/>
    <col min="15112" max="15112" width="5.85546875" style="1057" customWidth="1"/>
    <col min="15113" max="15113" width="23.28515625" style="1057" customWidth="1"/>
    <col min="15114" max="15114" width="17.140625" style="1057" customWidth="1"/>
    <col min="15115" max="15115" width="50.5703125" style="1057" customWidth="1"/>
    <col min="15116" max="15116" width="28.7109375" style="1057" customWidth="1"/>
    <col min="15117" max="15117" width="25.140625" style="1057" customWidth="1"/>
    <col min="15118" max="15118" width="36.7109375" style="1057" customWidth="1"/>
    <col min="15119" max="15120" width="24.5703125" style="1057" customWidth="1"/>
    <col min="15121" max="15121" width="17.85546875" style="1057" customWidth="1"/>
    <col min="15122" max="15122" width="27.5703125" style="1057" bestFit="1" customWidth="1"/>
    <col min="15123" max="15123" width="37.28515625" style="1057" customWidth="1"/>
    <col min="15124" max="15124" width="48.42578125" style="1057" customWidth="1"/>
    <col min="15125" max="15125" width="32" style="1057" customWidth="1"/>
    <col min="15126" max="15126" width="32.7109375" style="1057" customWidth="1"/>
    <col min="15127" max="15127" width="18.5703125" style="1057" customWidth="1"/>
    <col min="15128" max="15128" width="16.7109375" style="1057" customWidth="1"/>
    <col min="15129" max="15129" width="10.42578125" style="1057" customWidth="1"/>
    <col min="15130" max="15130" width="10.5703125" style="1057" customWidth="1"/>
    <col min="15131" max="15131" width="9.28515625" style="1057" customWidth="1"/>
    <col min="15132" max="15132" width="10.140625" style="1057" customWidth="1"/>
    <col min="15133" max="15133" width="8.42578125" style="1057" customWidth="1"/>
    <col min="15134" max="15134" width="9.5703125" style="1057" customWidth="1"/>
    <col min="15135" max="15135" width="9.28515625" style="1057" customWidth="1"/>
    <col min="15136" max="15136" width="8.85546875" style="1057" customWidth="1"/>
    <col min="15137" max="15139" width="8" style="1057" customWidth="1"/>
    <col min="15140" max="15140" width="8.7109375" style="1057" customWidth="1"/>
    <col min="15141" max="15141" width="8.140625" style="1057" customWidth="1"/>
    <col min="15142" max="15142" width="10.5703125" style="1057" customWidth="1"/>
    <col min="15143" max="15143" width="9.85546875" style="1057" customWidth="1"/>
    <col min="15144" max="15144" width="13.140625" style="1057" customWidth="1"/>
    <col min="15145" max="15145" width="25.42578125" style="1057" customWidth="1"/>
    <col min="15146" max="15146" width="30.85546875" style="1057" customWidth="1"/>
    <col min="15147" max="15147" width="27.42578125" style="1057" customWidth="1"/>
    <col min="15148" max="15360" width="11.42578125" style="1057"/>
    <col min="15361" max="15361" width="13" style="1057" bestFit="1" customWidth="1"/>
    <col min="15362" max="15362" width="6.85546875" style="1057" customWidth="1"/>
    <col min="15363" max="15363" width="14.28515625" style="1057" customWidth="1"/>
    <col min="15364" max="15364" width="14" style="1057" customWidth="1"/>
    <col min="15365" max="15365" width="17.85546875" style="1057" customWidth="1"/>
    <col min="15366" max="15366" width="3.5703125" style="1057" customWidth="1"/>
    <col min="15367" max="15367" width="13.28515625" style="1057" customWidth="1"/>
    <col min="15368" max="15368" width="5.85546875" style="1057" customWidth="1"/>
    <col min="15369" max="15369" width="23.28515625" style="1057" customWidth="1"/>
    <col min="15370" max="15370" width="17.140625" style="1057" customWidth="1"/>
    <col min="15371" max="15371" width="50.5703125" style="1057" customWidth="1"/>
    <col min="15372" max="15372" width="28.7109375" style="1057" customWidth="1"/>
    <col min="15373" max="15373" width="25.140625" style="1057" customWidth="1"/>
    <col min="15374" max="15374" width="36.7109375" style="1057" customWidth="1"/>
    <col min="15375" max="15376" width="24.5703125" style="1057" customWidth="1"/>
    <col min="15377" max="15377" width="17.85546875" style="1057" customWidth="1"/>
    <col min="15378" max="15378" width="27.5703125" style="1057" bestFit="1" customWidth="1"/>
    <col min="15379" max="15379" width="37.28515625" style="1057" customWidth="1"/>
    <col min="15380" max="15380" width="48.42578125" style="1057" customWidth="1"/>
    <col min="15381" max="15381" width="32" style="1057" customWidth="1"/>
    <col min="15382" max="15382" width="32.7109375" style="1057" customWidth="1"/>
    <col min="15383" max="15383" width="18.5703125" style="1057" customWidth="1"/>
    <col min="15384" max="15384" width="16.7109375" style="1057" customWidth="1"/>
    <col min="15385" max="15385" width="10.42578125" style="1057" customWidth="1"/>
    <col min="15386" max="15386" width="10.5703125" style="1057" customWidth="1"/>
    <col min="15387" max="15387" width="9.28515625" style="1057" customWidth="1"/>
    <col min="15388" max="15388" width="10.140625" style="1057" customWidth="1"/>
    <col min="15389" max="15389" width="8.42578125" style="1057" customWidth="1"/>
    <col min="15390" max="15390" width="9.5703125" style="1057" customWidth="1"/>
    <col min="15391" max="15391" width="9.28515625" style="1057" customWidth="1"/>
    <col min="15392" max="15392" width="8.85546875" style="1057" customWidth="1"/>
    <col min="15393" max="15395" width="8" style="1057" customWidth="1"/>
    <col min="15396" max="15396" width="8.7109375" style="1057" customWidth="1"/>
    <col min="15397" max="15397" width="8.140625" style="1057" customWidth="1"/>
    <col min="15398" max="15398" width="10.5703125" style="1057" customWidth="1"/>
    <col min="15399" max="15399" width="9.85546875" style="1057" customWidth="1"/>
    <col min="15400" max="15400" width="13.140625" style="1057" customWidth="1"/>
    <col min="15401" max="15401" width="25.42578125" style="1057" customWidth="1"/>
    <col min="15402" max="15402" width="30.85546875" style="1057" customWidth="1"/>
    <col min="15403" max="15403" width="27.42578125" style="1057" customWidth="1"/>
    <col min="15404" max="15616" width="11.42578125" style="1057"/>
    <col min="15617" max="15617" width="13" style="1057" bestFit="1" customWidth="1"/>
    <col min="15618" max="15618" width="6.85546875" style="1057" customWidth="1"/>
    <col min="15619" max="15619" width="14.28515625" style="1057" customWidth="1"/>
    <col min="15620" max="15620" width="14" style="1057" customWidth="1"/>
    <col min="15621" max="15621" width="17.85546875" style="1057" customWidth="1"/>
    <col min="15622" max="15622" width="3.5703125" style="1057" customWidth="1"/>
    <col min="15623" max="15623" width="13.28515625" style="1057" customWidth="1"/>
    <col min="15624" max="15624" width="5.85546875" style="1057" customWidth="1"/>
    <col min="15625" max="15625" width="23.28515625" style="1057" customWidth="1"/>
    <col min="15626" max="15626" width="17.140625" style="1057" customWidth="1"/>
    <col min="15627" max="15627" width="50.5703125" style="1057" customWidth="1"/>
    <col min="15628" max="15628" width="28.7109375" style="1057" customWidth="1"/>
    <col min="15629" max="15629" width="25.140625" style="1057" customWidth="1"/>
    <col min="15630" max="15630" width="36.7109375" style="1057" customWidth="1"/>
    <col min="15631" max="15632" width="24.5703125" style="1057" customWidth="1"/>
    <col min="15633" max="15633" width="17.85546875" style="1057" customWidth="1"/>
    <col min="15634" max="15634" width="27.5703125" style="1057" bestFit="1" customWidth="1"/>
    <col min="15635" max="15635" width="37.28515625" style="1057" customWidth="1"/>
    <col min="15636" max="15636" width="48.42578125" style="1057" customWidth="1"/>
    <col min="15637" max="15637" width="32" style="1057" customWidth="1"/>
    <col min="15638" max="15638" width="32.7109375" style="1057" customWidth="1"/>
    <col min="15639" max="15639" width="18.5703125" style="1057" customWidth="1"/>
    <col min="15640" max="15640" width="16.7109375" style="1057" customWidth="1"/>
    <col min="15641" max="15641" width="10.42578125" style="1057" customWidth="1"/>
    <col min="15642" max="15642" width="10.5703125" style="1057" customWidth="1"/>
    <col min="15643" max="15643" width="9.28515625" style="1057" customWidth="1"/>
    <col min="15644" max="15644" width="10.140625" style="1057" customWidth="1"/>
    <col min="15645" max="15645" width="8.42578125" style="1057" customWidth="1"/>
    <col min="15646" max="15646" width="9.5703125" style="1057" customWidth="1"/>
    <col min="15647" max="15647" width="9.28515625" style="1057" customWidth="1"/>
    <col min="15648" max="15648" width="8.85546875" style="1057" customWidth="1"/>
    <col min="15649" max="15651" width="8" style="1057" customWidth="1"/>
    <col min="15652" max="15652" width="8.7109375" style="1057" customWidth="1"/>
    <col min="15653" max="15653" width="8.140625" style="1057" customWidth="1"/>
    <col min="15654" max="15654" width="10.5703125" style="1057" customWidth="1"/>
    <col min="15655" max="15655" width="9.85546875" style="1057" customWidth="1"/>
    <col min="15656" max="15656" width="13.140625" style="1057" customWidth="1"/>
    <col min="15657" max="15657" width="25.42578125" style="1057" customWidth="1"/>
    <col min="15658" max="15658" width="30.85546875" style="1057" customWidth="1"/>
    <col min="15659" max="15659" width="27.42578125" style="1057" customWidth="1"/>
    <col min="15660" max="15872" width="11.42578125" style="1057"/>
    <col min="15873" max="15873" width="13" style="1057" bestFit="1" customWidth="1"/>
    <col min="15874" max="15874" width="6.85546875" style="1057" customWidth="1"/>
    <col min="15875" max="15875" width="14.28515625" style="1057" customWidth="1"/>
    <col min="15876" max="15876" width="14" style="1057" customWidth="1"/>
    <col min="15877" max="15877" width="17.85546875" style="1057" customWidth="1"/>
    <col min="15878" max="15878" width="3.5703125" style="1057" customWidth="1"/>
    <col min="15879" max="15879" width="13.28515625" style="1057" customWidth="1"/>
    <col min="15880" max="15880" width="5.85546875" style="1057" customWidth="1"/>
    <col min="15881" max="15881" width="23.28515625" style="1057" customWidth="1"/>
    <col min="15882" max="15882" width="17.140625" style="1057" customWidth="1"/>
    <col min="15883" max="15883" width="50.5703125" style="1057" customWidth="1"/>
    <col min="15884" max="15884" width="28.7109375" style="1057" customWidth="1"/>
    <col min="15885" max="15885" width="25.140625" style="1057" customWidth="1"/>
    <col min="15886" max="15886" width="36.7109375" style="1057" customWidth="1"/>
    <col min="15887" max="15888" width="24.5703125" style="1057" customWidth="1"/>
    <col min="15889" max="15889" width="17.85546875" style="1057" customWidth="1"/>
    <col min="15890" max="15890" width="27.5703125" style="1057" bestFit="1" customWidth="1"/>
    <col min="15891" max="15891" width="37.28515625" style="1057" customWidth="1"/>
    <col min="15892" max="15892" width="48.42578125" style="1057" customWidth="1"/>
    <col min="15893" max="15893" width="32" style="1057" customWidth="1"/>
    <col min="15894" max="15894" width="32.7109375" style="1057" customWidth="1"/>
    <col min="15895" max="15895" width="18.5703125" style="1057" customWidth="1"/>
    <col min="15896" max="15896" width="16.7109375" style="1057" customWidth="1"/>
    <col min="15897" max="15897" width="10.42578125" style="1057" customWidth="1"/>
    <col min="15898" max="15898" width="10.5703125" style="1057" customWidth="1"/>
    <col min="15899" max="15899" width="9.28515625" style="1057" customWidth="1"/>
    <col min="15900" max="15900" width="10.140625" style="1057" customWidth="1"/>
    <col min="15901" max="15901" width="8.42578125" style="1057" customWidth="1"/>
    <col min="15902" max="15902" width="9.5703125" style="1057" customWidth="1"/>
    <col min="15903" max="15903" width="9.28515625" style="1057" customWidth="1"/>
    <col min="15904" max="15904" width="8.85546875" style="1057" customWidth="1"/>
    <col min="15905" max="15907" width="8" style="1057" customWidth="1"/>
    <col min="15908" max="15908" width="8.7109375" style="1057" customWidth="1"/>
    <col min="15909" max="15909" width="8.140625" style="1057" customWidth="1"/>
    <col min="15910" max="15910" width="10.5703125" style="1057" customWidth="1"/>
    <col min="15911" max="15911" width="9.85546875" style="1057" customWidth="1"/>
    <col min="15912" max="15912" width="13.140625" style="1057" customWidth="1"/>
    <col min="15913" max="15913" width="25.42578125" style="1057" customWidth="1"/>
    <col min="15914" max="15914" width="30.85546875" style="1057" customWidth="1"/>
    <col min="15915" max="15915" width="27.42578125" style="1057" customWidth="1"/>
    <col min="15916" max="16128" width="11.42578125" style="1057"/>
    <col min="16129" max="16129" width="13" style="1057" bestFit="1" customWidth="1"/>
    <col min="16130" max="16130" width="6.85546875" style="1057" customWidth="1"/>
    <col min="16131" max="16131" width="14.28515625" style="1057" customWidth="1"/>
    <col min="16132" max="16132" width="14" style="1057" customWidth="1"/>
    <col min="16133" max="16133" width="17.85546875" style="1057" customWidth="1"/>
    <col min="16134" max="16134" width="3.5703125" style="1057" customWidth="1"/>
    <col min="16135" max="16135" width="13.28515625" style="1057" customWidth="1"/>
    <col min="16136" max="16136" width="5.85546875" style="1057" customWidth="1"/>
    <col min="16137" max="16137" width="23.28515625" style="1057" customWidth="1"/>
    <col min="16138" max="16138" width="17.140625" style="1057" customWidth="1"/>
    <col min="16139" max="16139" width="50.5703125" style="1057" customWidth="1"/>
    <col min="16140" max="16140" width="28.7109375" style="1057" customWidth="1"/>
    <col min="16141" max="16141" width="25.140625" style="1057" customWidth="1"/>
    <col min="16142" max="16142" width="36.7109375" style="1057" customWidth="1"/>
    <col min="16143" max="16144" width="24.5703125" style="1057" customWidth="1"/>
    <col min="16145" max="16145" width="17.85546875" style="1057" customWidth="1"/>
    <col min="16146" max="16146" width="27.5703125" style="1057" bestFit="1" customWidth="1"/>
    <col min="16147" max="16147" width="37.28515625" style="1057" customWidth="1"/>
    <col min="16148" max="16148" width="48.42578125" style="1057" customWidth="1"/>
    <col min="16149" max="16149" width="32" style="1057" customWidth="1"/>
    <col min="16150" max="16150" width="32.7109375" style="1057" customWidth="1"/>
    <col min="16151" max="16151" width="18.5703125" style="1057" customWidth="1"/>
    <col min="16152" max="16152" width="16.7109375" style="1057" customWidth="1"/>
    <col min="16153" max="16153" width="10.42578125" style="1057" customWidth="1"/>
    <col min="16154" max="16154" width="10.5703125" style="1057" customWidth="1"/>
    <col min="16155" max="16155" width="9.28515625" style="1057" customWidth="1"/>
    <col min="16156" max="16156" width="10.140625" style="1057" customWidth="1"/>
    <col min="16157" max="16157" width="8.42578125" style="1057" customWidth="1"/>
    <col min="16158" max="16158" width="9.5703125" style="1057" customWidth="1"/>
    <col min="16159" max="16159" width="9.28515625" style="1057" customWidth="1"/>
    <col min="16160" max="16160" width="8.85546875" style="1057" customWidth="1"/>
    <col min="16161" max="16163" width="8" style="1057" customWidth="1"/>
    <col min="16164" max="16164" width="8.7109375" style="1057" customWidth="1"/>
    <col min="16165" max="16165" width="8.140625" style="1057" customWidth="1"/>
    <col min="16166" max="16166" width="10.5703125" style="1057" customWidth="1"/>
    <col min="16167" max="16167" width="9.85546875" style="1057" customWidth="1"/>
    <col min="16168" max="16168" width="13.140625" style="1057" customWidth="1"/>
    <col min="16169" max="16169" width="25.42578125" style="1057" customWidth="1"/>
    <col min="16170" max="16170" width="30.85546875" style="1057" customWidth="1"/>
    <col min="16171" max="16171" width="27.42578125" style="1057" customWidth="1"/>
    <col min="16172" max="16384" width="11.42578125" style="1057"/>
  </cols>
  <sheetData>
    <row r="1" spans="1:254" x14ac:dyDescent="0.25">
      <c r="A1" s="2795" t="s">
        <v>981</v>
      </c>
      <c r="B1" s="2796"/>
      <c r="C1" s="2796"/>
      <c r="D1" s="2796"/>
      <c r="E1" s="2796"/>
      <c r="F1" s="2796"/>
      <c r="G1" s="2796"/>
      <c r="H1" s="2796"/>
      <c r="I1" s="2796"/>
      <c r="J1" s="2796"/>
      <c r="K1" s="2796"/>
      <c r="L1" s="2796"/>
      <c r="M1" s="2796"/>
      <c r="N1" s="2796"/>
      <c r="O1" s="2796"/>
      <c r="P1" s="2796"/>
      <c r="Q1" s="2796"/>
      <c r="R1" s="2796"/>
      <c r="S1" s="2796"/>
      <c r="T1" s="2796"/>
      <c r="U1" s="2796"/>
      <c r="V1" s="2796"/>
      <c r="W1" s="2796"/>
      <c r="X1" s="2796"/>
      <c r="Y1" s="2796"/>
      <c r="Z1" s="2796"/>
      <c r="AA1" s="2796"/>
      <c r="AB1" s="2796"/>
      <c r="AC1" s="2796"/>
      <c r="AD1" s="2796"/>
      <c r="AE1" s="2796"/>
      <c r="AF1" s="2796"/>
      <c r="AG1" s="2796"/>
      <c r="AH1" s="2796"/>
      <c r="AI1" s="2796"/>
      <c r="AJ1" s="2796"/>
      <c r="AK1" s="2796"/>
      <c r="AL1" s="2796"/>
      <c r="AM1" s="2796"/>
      <c r="AN1" s="2796"/>
      <c r="AO1" s="2796"/>
      <c r="AP1" s="1054" t="s">
        <v>1</v>
      </c>
      <c r="AQ1" s="1055" t="s">
        <v>122</v>
      </c>
      <c r="AR1" s="1056"/>
      <c r="AS1" s="1056"/>
      <c r="AV1" s="1056"/>
      <c r="AW1" s="1056"/>
      <c r="AX1" s="1056"/>
      <c r="AY1" s="1056"/>
      <c r="AZ1" s="1056"/>
      <c r="BA1" s="1056"/>
      <c r="BB1" s="1056"/>
      <c r="BC1" s="1056"/>
      <c r="BD1" s="1056"/>
      <c r="BE1" s="1056"/>
      <c r="BF1" s="1056"/>
      <c r="BG1" s="1056"/>
      <c r="BH1" s="1056"/>
      <c r="BI1" s="1056"/>
      <c r="BJ1" s="1056"/>
      <c r="BK1" s="1056"/>
    </row>
    <row r="2" spans="1:254" x14ac:dyDescent="0.25">
      <c r="A2" s="2797"/>
      <c r="B2" s="2590"/>
      <c r="C2" s="2590"/>
      <c r="D2" s="2590"/>
      <c r="E2" s="2590"/>
      <c r="F2" s="2590"/>
      <c r="G2" s="2590"/>
      <c r="H2" s="2590"/>
      <c r="I2" s="2590"/>
      <c r="J2" s="2590"/>
      <c r="K2" s="2590"/>
      <c r="L2" s="2590"/>
      <c r="M2" s="2590"/>
      <c r="N2" s="2590"/>
      <c r="O2" s="2590"/>
      <c r="P2" s="2590"/>
      <c r="Q2" s="2590"/>
      <c r="R2" s="2590"/>
      <c r="S2" s="2590"/>
      <c r="T2" s="2590"/>
      <c r="U2" s="2590"/>
      <c r="V2" s="2590"/>
      <c r="W2" s="2590"/>
      <c r="X2" s="2590"/>
      <c r="Y2" s="2590"/>
      <c r="Z2" s="2590"/>
      <c r="AA2" s="2590"/>
      <c r="AB2" s="2590"/>
      <c r="AC2" s="2590"/>
      <c r="AD2" s="2590"/>
      <c r="AE2" s="2590"/>
      <c r="AF2" s="2590"/>
      <c r="AG2" s="2590"/>
      <c r="AH2" s="2590"/>
      <c r="AI2" s="2590"/>
      <c r="AJ2" s="2590"/>
      <c r="AK2" s="2590"/>
      <c r="AL2" s="2590"/>
      <c r="AM2" s="2590"/>
      <c r="AN2" s="2590"/>
      <c r="AO2" s="2590"/>
      <c r="AP2" s="1058" t="s">
        <v>3</v>
      </c>
      <c r="AQ2" s="1059" t="s">
        <v>123</v>
      </c>
      <c r="AR2" s="1056"/>
      <c r="AS2" s="1056"/>
      <c r="AV2" s="1056"/>
      <c r="AW2" s="1056"/>
      <c r="AX2" s="1056"/>
      <c r="AY2" s="1056"/>
      <c r="AZ2" s="1056"/>
      <c r="BA2" s="1056"/>
      <c r="BB2" s="1056"/>
      <c r="BC2" s="1056"/>
      <c r="BD2" s="1056"/>
      <c r="BE2" s="1056"/>
      <c r="BF2" s="1056"/>
      <c r="BG2" s="1056"/>
      <c r="BH2" s="1056"/>
      <c r="BI2" s="1056"/>
      <c r="BJ2" s="1056"/>
      <c r="BK2" s="1056"/>
    </row>
    <row r="3" spans="1:254" x14ac:dyDescent="0.25">
      <c r="A3" s="2797"/>
      <c r="B3" s="2590"/>
      <c r="C3" s="2590"/>
      <c r="D3" s="2590"/>
      <c r="E3" s="2590"/>
      <c r="F3" s="2590"/>
      <c r="G3" s="2590"/>
      <c r="H3" s="2590"/>
      <c r="I3" s="2590"/>
      <c r="J3" s="2590"/>
      <c r="K3" s="2590"/>
      <c r="L3" s="2590"/>
      <c r="M3" s="2590"/>
      <c r="N3" s="2590"/>
      <c r="O3" s="2590"/>
      <c r="P3" s="2590"/>
      <c r="Q3" s="2590"/>
      <c r="R3" s="2590"/>
      <c r="S3" s="2590"/>
      <c r="T3" s="2590"/>
      <c r="U3" s="2590"/>
      <c r="V3" s="2590"/>
      <c r="W3" s="2590"/>
      <c r="X3" s="2590"/>
      <c r="Y3" s="2590"/>
      <c r="Z3" s="2590"/>
      <c r="AA3" s="2590"/>
      <c r="AB3" s="2590"/>
      <c r="AC3" s="2590"/>
      <c r="AD3" s="2590"/>
      <c r="AE3" s="2590"/>
      <c r="AF3" s="2590"/>
      <c r="AG3" s="2590"/>
      <c r="AH3" s="2590"/>
      <c r="AI3" s="2590"/>
      <c r="AJ3" s="2590"/>
      <c r="AK3" s="2590"/>
      <c r="AL3" s="2590"/>
      <c r="AM3" s="2590"/>
      <c r="AN3" s="2590"/>
      <c r="AO3" s="2590"/>
      <c r="AP3" s="1060" t="s">
        <v>5</v>
      </c>
      <c r="AQ3" s="1061" t="s">
        <v>6</v>
      </c>
      <c r="AR3" s="1056"/>
      <c r="AS3" s="1056"/>
      <c r="AV3" s="1056"/>
      <c r="AW3" s="1056"/>
      <c r="AX3" s="1056"/>
      <c r="AY3" s="1056"/>
      <c r="AZ3" s="1056"/>
      <c r="BA3" s="1056"/>
      <c r="BB3" s="1056"/>
      <c r="BC3" s="1056"/>
      <c r="BD3" s="1056"/>
      <c r="BE3" s="1056"/>
      <c r="BF3" s="1056"/>
      <c r="BG3" s="1056"/>
      <c r="BH3" s="1056"/>
      <c r="BI3" s="1056"/>
      <c r="BJ3" s="1056"/>
      <c r="BK3" s="1056"/>
    </row>
    <row r="4" spans="1:254" x14ac:dyDescent="0.25">
      <c r="A4" s="2798"/>
      <c r="B4" s="2591"/>
      <c r="C4" s="2591"/>
      <c r="D4" s="2591"/>
      <c r="E4" s="2591"/>
      <c r="F4" s="2591"/>
      <c r="G4" s="2591"/>
      <c r="H4" s="2591"/>
      <c r="I4" s="2591"/>
      <c r="J4" s="2591"/>
      <c r="K4" s="2591"/>
      <c r="L4" s="2591"/>
      <c r="M4" s="2591"/>
      <c r="N4" s="2591"/>
      <c r="O4" s="2591"/>
      <c r="P4" s="2591"/>
      <c r="Q4" s="2591"/>
      <c r="R4" s="2591"/>
      <c r="S4" s="2591"/>
      <c r="T4" s="2591"/>
      <c r="U4" s="2591"/>
      <c r="V4" s="2591"/>
      <c r="W4" s="2591"/>
      <c r="X4" s="2591"/>
      <c r="Y4" s="2591"/>
      <c r="Z4" s="2591"/>
      <c r="AA4" s="2591"/>
      <c r="AB4" s="2591"/>
      <c r="AC4" s="2591"/>
      <c r="AD4" s="2591"/>
      <c r="AE4" s="2591"/>
      <c r="AF4" s="2591"/>
      <c r="AG4" s="2591"/>
      <c r="AH4" s="2591"/>
      <c r="AI4" s="2591"/>
      <c r="AJ4" s="2591"/>
      <c r="AK4" s="2591"/>
      <c r="AL4" s="2591"/>
      <c r="AM4" s="2591"/>
      <c r="AN4" s="2591"/>
      <c r="AO4" s="2591"/>
      <c r="AP4" s="1060" t="s">
        <v>7</v>
      </c>
      <c r="AQ4" s="1062" t="s">
        <v>8</v>
      </c>
      <c r="AR4" s="1056"/>
      <c r="AS4" s="1056"/>
      <c r="AV4" s="1056"/>
      <c r="AW4" s="1056"/>
      <c r="AX4" s="1056"/>
      <c r="AY4" s="1056"/>
      <c r="AZ4" s="1056"/>
      <c r="BA4" s="1056"/>
      <c r="BB4" s="1056"/>
      <c r="BC4" s="1056"/>
      <c r="BD4" s="1056"/>
      <c r="BE4" s="1056"/>
      <c r="BF4" s="1056"/>
      <c r="BG4" s="1056"/>
      <c r="BH4" s="1056"/>
      <c r="BI4" s="1056"/>
      <c r="BJ4" s="1056"/>
      <c r="BK4" s="1056"/>
    </row>
    <row r="5" spans="1:254" ht="19.5" customHeight="1" x14ac:dyDescent="0.25">
      <c r="A5" s="2799" t="s">
        <v>9</v>
      </c>
      <c r="B5" s="2592"/>
      <c r="C5" s="2592"/>
      <c r="D5" s="2592"/>
      <c r="E5" s="2592"/>
      <c r="F5" s="2592"/>
      <c r="G5" s="2592"/>
      <c r="H5" s="2592"/>
      <c r="I5" s="2592"/>
      <c r="J5" s="2592"/>
      <c r="K5" s="2592"/>
      <c r="L5" s="2592"/>
      <c r="M5" s="2592"/>
      <c r="N5" s="2593" t="s">
        <v>982</v>
      </c>
      <c r="O5" s="2593"/>
      <c r="P5" s="2593"/>
      <c r="Q5" s="2593"/>
      <c r="R5" s="2593"/>
      <c r="S5" s="2593"/>
      <c r="T5" s="2593"/>
      <c r="U5" s="2593"/>
      <c r="V5" s="2593"/>
      <c r="W5" s="2593"/>
      <c r="X5" s="2593"/>
      <c r="Y5" s="2593"/>
      <c r="Z5" s="2593"/>
      <c r="AA5" s="2593"/>
      <c r="AB5" s="2593"/>
      <c r="AC5" s="2593"/>
      <c r="AD5" s="2593"/>
      <c r="AE5" s="2593"/>
      <c r="AF5" s="2593"/>
      <c r="AG5" s="2593"/>
      <c r="AH5" s="2593"/>
      <c r="AI5" s="2593"/>
      <c r="AJ5" s="2593"/>
      <c r="AK5" s="2593"/>
      <c r="AL5" s="2593"/>
      <c r="AM5" s="2593"/>
      <c r="AN5" s="2593"/>
      <c r="AO5" s="2593"/>
      <c r="AP5" s="2593"/>
      <c r="AQ5" s="2802"/>
      <c r="AR5" s="1056"/>
      <c r="AS5" s="1056"/>
      <c r="AT5" s="1056"/>
      <c r="AU5" s="1056"/>
      <c r="AV5" s="1056"/>
      <c r="AW5" s="1056"/>
      <c r="AX5" s="1056"/>
      <c r="AY5" s="1056"/>
      <c r="AZ5" s="1056"/>
      <c r="BA5" s="1056"/>
      <c r="BB5" s="1056"/>
      <c r="BC5" s="1056"/>
      <c r="BD5" s="1056"/>
      <c r="BE5" s="1056"/>
      <c r="BF5" s="1056"/>
      <c r="BG5" s="1056"/>
      <c r="BH5" s="1056"/>
      <c r="BI5" s="1056"/>
      <c r="BJ5" s="1056"/>
      <c r="BK5" s="1056"/>
    </row>
    <row r="6" spans="1:254" x14ac:dyDescent="0.25">
      <c r="A6" s="2800"/>
      <c r="B6" s="2801"/>
      <c r="C6" s="2801"/>
      <c r="D6" s="2801"/>
      <c r="E6" s="2801"/>
      <c r="F6" s="2801"/>
      <c r="G6" s="2801"/>
      <c r="H6" s="2801"/>
      <c r="I6" s="2801"/>
      <c r="J6" s="2801"/>
      <c r="K6" s="2801"/>
      <c r="L6" s="2801"/>
      <c r="M6" s="2801"/>
      <c r="N6" s="1063"/>
      <c r="O6" s="1064"/>
      <c r="P6" s="1064"/>
      <c r="Q6" s="1065"/>
      <c r="R6" s="1066"/>
      <c r="S6" s="1064"/>
      <c r="T6" s="1064"/>
      <c r="U6" s="1064"/>
      <c r="V6" s="1067"/>
      <c r="W6" s="881"/>
      <c r="X6" s="1064"/>
      <c r="Y6" s="2803" t="s">
        <v>11</v>
      </c>
      <c r="Z6" s="2801"/>
      <c r="AA6" s="2801"/>
      <c r="AB6" s="2801"/>
      <c r="AC6" s="2801"/>
      <c r="AD6" s="2801"/>
      <c r="AE6" s="2801"/>
      <c r="AF6" s="2801"/>
      <c r="AG6" s="2801"/>
      <c r="AH6" s="2801"/>
      <c r="AI6" s="2801"/>
      <c r="AJ6" s="2801"/>
      <c r="AK6" s="2801"/>
      <c r="AL6" s="2801"/>
      <c r="AM6" s="2804"/>
      <c r="AN6" s="1065"/>
      <c r="AO6" s="1068"/>
      <c r="AP6" s="1068"/>
      <c r="AQ6" s="1069"/>
      <c r="AR6" s="1056"/>
      <c r="AS6" s="1056"/>
      <c r="AT6" s="1056"/>
      <c r="AU6" s="1056"/>
      <c r="AV6" s="1056"/>
      <c r="AW6" s="1056"/>
      <c r="AX6" s="1056"/>
      <c r="AY6" s="1056"/>
      <c r="AZ6" s="1056"/>
      <c r="BA6" s="1056"/>
      <c r="BB6" s="1056"/>
      <c r="BC6" s="1056"/>
      <c r="BD6" s="1056"/>
      <c r="BE6" s="1056"/>
      <c r="BF6" s="1056"/>
      <c r="BG6" s="1056"/>
      <c r="BH6" s="1056"/>
      <c r="BI6" s="1056"/>
      <c r="BJ6" s="1056"/>
      <c r="BK6" s="1056"/>
    </row>
    <row r="7" spans="1:254" x14ac:dyDescent="0.25">
      <c r="A7" s="2805" t="s">
        <v>12</v>
      </c>
      <c r="B7" s="2600" t="s">
        <v>13</v>
      </c>
      <c r="C7" s="2600"/>
      <c r="D7" s="2600" t="s">
        <v>12</v>
      </c>
      <c r="E7" s="2600" t="s">
        <v>14</v>
      </c>
      <c r="F7" s="2600"/>
      <c r="G7" s="2600" t="s">
        <v>12</v>
      </c>
      <c r="H7" s="2600" t="s">
        <v>15</v>
      </c>
      <c r="I7" s="2600"/>
      <c r="J7" s="2600" t="s">
        <v>12</v>
      </c>
      <c r="K7" s="2600" t="s">
        <v>16</v>
      </c>
      <c r="L7" s="2600" t="s">
        <v>17</v>
      </c>
      <c r="M7" s="2600" t="s">
        <v>18</v>
      </c>
      <c r="N7" s="2600" t="s">
        <v>19</v>
      </c>
      <c r="O7" s="2600" t="s">
        <v>20</v>
      </c>
      <c r="P7" s="2600" t="s">
        <v>10</v>
      </c>
      <c r="Q7" s="2815" t="s">
        <v>21</v>
      </c>
      <c r="R7" s="2817" t="s">
        <v>22</v>
      </c>
      <c r="S7" s="2596" t="s">
        <v>23</v>
      </c>
      <c r="T7" s="2596" t="s">
        <v>24</v>
      </c>
      <c r="U7" s="2600" t="s">
        <v>25</v>
      </c>
      <c r="V7" s="2616" t="s">
        <v>22</v>
      </c>
      <c r="W7" s="1070"/>
      <c r="X7" s="2597" t="s">
        <v>26</v>
      </c>
      <c r="Y7" s="2606" t="s">
        <v>27</v>
      </c>
      <c r="Z7" s="2607"/>
      <c r="AA7" s="2608" t="s">
        <v>28</v>
      </c>
      <c r="AB7" s="2609"/>
      <c r="AC7" s="2609"/>
      <c r="AD7" s="2609"/>
      <c r="AE7" s="2610" t="s">
        <v>29</v>
      </c>
      <c r="AF7" s="2611"/>
      <c r="AG7" s="2611"/>
      <c r="AH7" s="2611"/>
      <c r="AI7" s="2611"/>
      <c r="AJ7" s="2611"/>
      <c r="AK7" s="2608" t="s">
        <v>30</v>
      </c>
      <c r="AL7" s="2609"/>
      <c r="AM7" s="2609"/>
      <c r="AN7" s="2807" t="s">
        <v>31</v>
      </c>
      <c r="AO7" s="2809" t="s">
        <v>32</v>
      </c>
      <c r="AP7" s="2809" t="s">
        <v>33</v>
      </c>
      <c r="AQ7" s="2810" t="s">
        <v>34</v>
      </c>
      <c r="AR7" s="1056"/>
      <c r="AS7" s="1056"/>
      <c r="AT7" s="1056"/>
      <c r="AU7" s="1056"/>
      <c r="AV7" s="1056"/>
      <c r="AW7" s="1056"/>
      <c r="AX7" s="1056"/>
      <c r="AY7" s="1056"/>
      <c r="AZ7" s="1056"/>
      <c r="BA7" s="1056"/>
      <c r="BB7" s="1056"/>
      <c r="BC7" s="1056"/>
      <c r="BD7" s="1056"/>
      <c r="BE7" s="1056"/>
      <c r="BF7" s="1056"/>
      <c r="BG7" s="1056"/>
      <c r="BH7" s="1056"/>
      <c r="BI7" s="1056"/>
      <c r="BJ7" s="1056"/>
      <c r="BK7" s="1056"/>
    </row>
    <row r="8" spans="1:254" s="1076" customFormat="1" ht="108.75" customHeight="1" x14ac:dyDescent="0.2">
      <c r="A8" s="2806"/>
      <c r="B8" s="2601"/>
      <c r="C8" s="2601"/>
      <c r="D8" s="2601"/>
      <c r="E8" s="2601"/>
      <c r="F8" s="2601"/>
      <c r="G8" s="2601"/>
      <c r="H8" s="2601"/>
      <c r="I8" s="2601"/>
      <c r="J8" s="2601"/>
      <c r="K8" s="2601"/>
      <c r="L8" s="2601"/>
      <c r="M8" s="2794"/>
      <c r="N8" s="2599"/>
      <c r="O8" s="2601"/>
      <c r="P8" s="2601"/>
      <c r="Q8" s="2816"/>
      <c r="R8" s="2818"/>
      <c r="S8" s="2598"/>
      <c r="T8" s="2598"/>
      <c r="U8" s="2601"/>
      <c r="V8" s="2814"/>
      <c r="W8" s="1071" t="s">
        <v>12</v>
      </c>
      <c r="X8" s="2599"/>
      <c r="Y8" s="1072" t="s">
        <v>35</v>
      </c>
      <c r="Z8" s="1073" t="s">
        <v>36</v>
      </c>
      <c r="AA8" s="1072" t="s">
        <v>37</v>
      </c>
      <c r="AB8" s="1072" t="s">
        <v>125</v>
      </c>
      <c r="AC8" s="1072" t="s">
        <v>126</v>
      </c>
      <c r="AD8" s="1072" t="s">
        <v>127</v>
      </c>
      <c r="AE8" s="1072" t="s">
        <v>41</v>
      </c>
      <c r="AF8" s="1072" t="s">
        <v>42</v>
      </c>
      <c r="AG8" s="1072" t="s">
        <v>43</v>
      </c>
      <c r="AH8" s="1072" t="s">
        <v>44</v>
      </c>
      <c r="AI8" s="1072" t="s">
        <v>45</v>
      </c>
      <c r="AJ8" s="1072" t="s">
        <v>46</v>
      </c>
      <c r="AK8" s="1072" t="s">
        <v>47</v>
      </c>
      <c r="AL8" s="1072" t="s">
        <v>48</v>
      </c>
      <c r="AM8" s="1072" t="s">
        <v>49</v>
      </c>
      <c r="AN8" s="2808"/>
      <c r="AO8" s="2809"/>
      <c r="AP8" s="2809"/>
      <c r="AQ8" s="2811"/>
      <c r="AR8" s="1074"/>
      <c r="AS8" s="1074"/>
      <c r="AT8" s="1074"/>
      <c r="AU8" s="1074"/>
      <c r="AV8" s="1074"/>
      <c r="AW8" s="1074"/>
      <c r="AX8" s="1074"/>
      <c r="AY8" s="1074"/>
      <c r="AZ8" s="1074"/>
      <c r="BA8" s="1074"/>
      <c r="BB8" s="1074"/>
      <c r="BC8" s="1074"/>
      <c r="BD8" s="1074"/>
      <c r="BE8" s="1074"/>
      <c r="BF8" s="1074"/>
      <c r="BG8" s="1074"/>
      <c r="BH8" s="1074"/>
      <c r="BI8" s="1074"/>
      <c r="BJ8" s="1074"/>
      <c r="BK8" s="1074"/>
      <c r="BL8" s="1075"/>
      <c r="BM8" s="1075"/>
      <c r="BN8" s="1075"/>
      <c r="BO8" s="1075"/>
      <c r="BP8" s="1075"/>
      <c r="BQ8" s="1075"/>
      <c r="BR8" s="1075"/>
      <c r="BS8" s="1075"/>
      <c r="BT8" s="1075"/>
      <c r="BU8" s="1075"/>
      <c r="BV8" s="1075"/>
      <c r="BW8" s="1075"/>
      <c r="BX8" s="1075"/>
      <c r="BY8" s="1075"/>
      <c r="BZ8" s="1075"/>
      <c r="CA8" s="1075"/>
      <c r="CB8" s="1075"/>
      <c r="CC8" s="1075"/>
      <c r="CD8" s="1075"/>
      <c r="CE8" s="1075"/>
      <c r="CF8" s="1075"/>
      <c r="CG8" s="1075"/>
      <c r="CH8" s="1075"/>
      <c r="CI8" s="1075"/>
      <c r="CJ8" s="1075"/>
      <c r="CK8" s="1075"/>
      <c r="CL8" s="1075"/>
      <c r="CM8" s="1075"/>
      <c r="CN8" s="1075"/>
      <c r="CO8" s="1075"/>
      <c r="CP8" s="1075"/>
      <c r="CQ8" s="1075"/>
      <c r="CR8" s="1075"/>
      <c r="CS8" s="1075"/>
      <c r="CT8" s="1075"/>
      <c r="CU8" s="1075"/>
      <c r="CV8" s="1075"/>
      <c r="CW8" s="1075"/>
      <c r="CX8" s="1075"/>
      <c r="CY8" s="1075"/>
      <c r="CZ8" s="1075"/>
      <c r="DA8" s="1075"/>
      <c r="DB8" s="1075"/>
      <c r="DC8" s="1075"/>
      <c r="DD8" s="1075"/>
      <c r="DE8" s="1075"/>
      <c r="DF8" s="1075"/>
      <c r="DG8" s="1075"/>
      <c r="DH8" s="1075"/>
      <c r="DI8" s="1075"/>
      <c r="DJ8" s="1075"/>
      <c r="DK8" s="1075"/>
      <c r="DL8" s="1075"/>
      <c r="DM8" s="1075"/>
      <c r="DN8" s="1075"/>
      <c r="DO8" s="1075"/>
      <c r="DP8" s="1075"/>
      <c r="DQ8" s="1075"/>
      <c r="DR8" s="1075"/>
      <c r="DS8" s="1075"/>
      <c r="DT8" s="1075"/>
      <c r="DU8" s="1075"/>
      <c r="DV8" s="1075"/>
      <c r="DW8" s="1075"/>
      <c r="DX8" s="1075"/>
      <c r="DY8" s="1075"/>
      <c r="DZ8" s="1075"/>
      <c r="EA8" s="1075"/>
      <c r="EB8" s="1075"/>
      <c r="EC8" s="1075"/>
      <c r="ED8" s="1075"/>
      <c r="EE8" s="1075"/>
      <c r="EF8" s="1075"/>
      <c r="EG8" s="1075"/>
      <c r="EH8" s="1075"/>
      <c r="EI8" s="1075"/>
      <c r="EJ8" s="1075"/>
      <c r="EK8" s="1075"/>
      <c r="EL8" s="1075"/>
      <c r="EM8" s="1075"/>
      <c r="EN8" s="1075"/>
      <c r="EO8" s="1075"/>
      <c r="EP8" s="1075"/>
      <c r="EQ8" s="1075"/>
      <c r="ER8" s="1075"/>
      <c r="ES8" s="1075"/>
      <c r="ET8" s="1075"/>
      <c r="EU8" s="1075"/>
      <c r="EV8" s="1075"/>
      <c r="EW8" s="1075"/>
      <c r="EX8" s="1075"/>
      <c r="EY8" s="1075"/>
      <c r="EZ8" s="1075"/>
      <c r="FA8" s="1075"/>
      <c r="FB8" s="1075"/>
      <c r="FC8" s="1075"/>
      <c r="FD8" s="1075"/>
      <c r="FE8" s="1075"/>
      <c r="FF8" s="1075"/>
      <c r="FG8" s="1075"/>
      <c r="FH8" s="1075"/>
      <c r="FI8" s="1075"/>
      <c r="FJ8" s="1075"/>
      <c r="FK8" s="1075"/>
      <c r="FL8" s="1075"/>
      <c r="FM8" s="1075"/>
      <c r="FN8" s="1075"/>
      <c r="FO8" s="1075"/>
      <c r="FP8" s="1075"/>
      <c r="FQ8" s="1075"/>
      <c r="FR8" s="1075"/>
      <c r="FS8" s="1075"/>
      <c r="FT8" s="1075"/>
      <c r="FU8" s="1075"/>
      <c r="FV8" s="1075"/>
      <c r="FW8" s="1075"/>
      <c r="FX8" s="1075"/>
      <c r="FY8" s="1075"/>
      <c r="FZ8" s="1075"/>
      <c r="GA8" s="1075"/>
      <c r="GB8" s="1075"/>
      <c r="GC8" s="1075"/>
      <c r="GD8" s="1075"/>
      <c r="GE8" s="1075"/>
      <c r="GF8" s="1075"/>
      <c r="GG8" s="1075"/>
      <c r="GH8" s="1075"/>
      <c r="GI8" s="1075"/>
      <c r="GJ8" s="1075"/>
      <c r="GK8" s="1075"/>
      <c r="GL8" s="1075"/>
      <c r="GM8" s="1075"/>
      <c r="GN8" s="1075"/>
      <c r="GO8" s="1075"/>
      <c r="GP8" s="1075"/>
      <c r="GQ8" s="1075"/>
      <c r="GR8" s="1075"/>
      <c r="GS8" s="1075"/>
      <c r="GT8" s="1075"/>
      <c r="GU8" s="1075"/>
      <c r="GV8" s="1075"/>
      <c r="GW8" s="1075"/>
      <c r="GX8" s="1075"/>
      <c r="GY8" s="1075"/>
      <c r="GZ8" s="1075"/>
      <c r="HA8" s="1075"/>
      <c r="HB8" s="1075"/>
      <c r="HC8" s="1075"/>
      <c r="HD8" s="1075"/>
      <c r="HE8" s="1075"/>
      <c r="HF8" s="1075"/>
      <c r="HG8" s="1075"/>
      <c r="HH8" s="1075"/>
      <c r="HI8" s="1075"/>
      <c r="HJ8" s="1075"/>
      <c r="HK8" s="1075"/>
      <c r="HL8" s="1075"/>
      <c r="HM8" s="1075"/>
      <c r="HN8" s="1075"/>
      <c r="HO8" s="1075"/>
      <c r="HP8" s="1075"/>
      <c r="HQ8" s="1075"/>
      <c r="HR8" s="1075"/>
      <c r="HS8" s="1075"/>
      <c r="HT8" s="1075"/>
      <c r="HU8" s="1075"/>
      <c r="HV8" s="1075"/>
      <c r="HW8" s="1075"/>
      <c r="HX8" s="1075"/>
      <c r="HY8" s="1075"/>
      <c r="HZ8" s="1075"/>
      <c r="IA8" s="1075"/>
      <c r="IB8" s="1075"/>
      <c r="IC8" s="1075"/>
      <c r="ID8" s="1075"/>
      <c r="IE8" s="1075"/>
      <c r="IF8" s="1075"/>
      <c r="IG8" s="1075"/>
      <c r="IH8" s="1075"/>
      <c r="II8" s="1075"/>
      <c r="IJ8" s="1075"/>
      <c r="IK8" s="1075"/>
      <c r="IL8" s="1075"/>
      <c r="IM8" s="1075"/>
      <c r="IN8" s="1075"/>
      <c r="IO8" s="1075"/>
      <c r="IP8" s="1075"/>
      <c r="IQ8" s="1075"/>
      <c r="IR8" s="1075"/>
      <c r="IS8" s="1075"/>
      <c r="IT8" s="1075"/>
    </row>
    <row r="9" spans="1:254" x14ac:dyDescent="0.25">
      <c r="A9" s="1077">
        <v>5</v>
      </c>
      <c r="B9" s="1078" t="s">
        <v>50</v>
      </c>
      <c r="C9" s="1078"/>
      <c r="D9" s="1079"/>
      <c r="E9" s="1079"/>
      <c r="F9" s="1078"/>
      <c r="G9" s="1078"/>
      <c r="H9" s="1078"/>
      <c r="I9" s="1078"/>
      <c r="J9" s="1078"/>
      <c r="K9" s="1080"/>
      <c r="L9" s="1080"/>
      <c r="M9" s="1081"/>
      <c r="N9" s="1080"/>
      <c r="O9" s="1080"/>
      <c r="P9" s="1080"/>
      <c r="Q9" s="1082"/>
      <c r="R9" s="1083"/>
      <c r="S9" s="1080"/>
      <c r="T9" s="1080"/>
      <c r="U9" s="1080"/>
      <c r="V9" s="1084"/>
      <c r="W9" s="1085"/>
      <c r="X9" s="1080"/>
      <c r="Y9" s="1078"/>
      <c r="Z9" s="1078"/>
      <c r="AA9" s="1078"/>
      <c r="AB9" s="1078"/>
      <c r="AC9" s="1078"/>
      <c r="AD9" s="1078"/>
      <c r="AE9" s="1078"/>
      <c r="AF9" s="1078"/>
      <c r="AG9" s="1078"/>
      <c r="AH9" s="1078"/>
      <c r="AI9" s="1078"/>
      <c r="AJ9" s="1078"/>
      <c r="AK9" s="1078"/>
      <c r="AL9" s="1078"/>
      <c r="AM9" s="1078"/>
      <c r="AN9" s="1078"/>
      <c r="AO9" s="1086"/>
      <c r="AP9" s="1086"/>
      <c r="AQ9" s="1087"/>
      <c r="AR9" s="1056"/>
      <c r="AS9" s="1056"/>
      <c r="AT9" s="1056"/>
      <c r="AU9" s="1056"/>
      <c r="AV9" s="1056"/>
      <c r="AW9" s="1056"/>
      <c r="AX9" s="1056"/>
      <c r="AY9" s="1056"/>
      <c r="AZ9" s="1056"/>
      <c r="BA9" s="1056"/>
      <c r="BB9" s="1056"/>
      <c r="BC9" s="1056"/>
      <c r="BD9" s="1056"/>
      <c r="BE9" s="1056"/>
      <c r="BF9" s="1056"/>
      <c r="BG9" s="1056"/>
      <c r="BH9" s="1056"/>
      <c r="BI9" s="1056"/>
      <c r="BJ9" s="1056"/>
      <c r="BK9" s="1056"/>
    </row>
    <row r="10" spans="1:254" x14ac:dyDescent="0.25">
      <c r="A10" s="1088"/>
      <c r="B10" s="1089"/>
      <c r="C10" s="1089"/>
      <c r="D10" s="1090">
        <v>28</v>
      </c>
      <c r="E10" s="1091" t="s">
        <v>983</v>
      </c>
      <c r="F10" s="1091"/>
      <c r="G10" s="1091"/>
      <c r="H10" s="1091"/>
      <c r="I10" s="1091"/>
      <c r="J10" s="1091"/>
      <c r="K10" s="1092"/>
      <c r="L10" s="1092"/>
      <c r="M10" s="1093"/>
      <c r="N10" s="899"/>
      <c r="O10" s="1092"/>
      <c r="P10" s="1092"/>
      <c r="Q10" s="1094"/>
      <c r="R10" s="1095"/>
      <c r="S10" s="1092"/>
      <c r="T10" s="1092"/>
      <c r="U10" s="1092"/>
      <c r="V10" s="1096"/>
      <c r="W10" s="1097"/>
      <c r="X10" s="1092"/>
      <c r="Y10" s="1091"/>
      <c r="Z10" s="1091"/>
      <c r="AA10" s="1091"/>
      <c r="AB10" s="1091"/>
      <c r="AC10" s="1091"/>
      <c r="AD10" s="1091"/>
      <c r="AE10" s="1091"/>
      <c r="AF10" s="1091"/>
      <c r="AG10" s="1091"/>
      <c r="AH10" s="1091"/>
      <c r="AI10" s="1091"/>
      <c r="AJ10" s="1091"/>
      <c r="AK10" s="1091"/>
      <c r="AL10" s="1091"/>
      <c r="AM10" s="1091"/>
      <c r="AN10" s="1091"/>
      <c r="AO10" s="1098"/>
      <c r="AP10" s="1098"/>
      <c r="AQ10" s="1099"/>
      <c r="AR10" s="1056"/>
      <c r="AS10" s="1056"/>
      <c r="AT10" s="1056"/>
      <c r="AU10" s="1056"/>
      <c r="AV10" s="1056"/>
      <c r="AW10" s="1056"/>
      <c r="AX10" s="1056"/>
      <c r="AY10" s="1056"/>
      <c r="AZ10" s="1056"/>
      <c r="BA10" s="1056"/>
      <c r="BB10" s="1056"/>
      <c r="BC10" s="1056"/>
      <c r="BD10" s="1056"/>
      <c r="BE10" s="1056"/>
      <c r="BF10" s="1056"/>
      <c r="BG10" s="1056"/>
      <c r="BH10" s="1056"/>
      <c r="BI10" s="1056"/>
      <c r="BJ10" s="1056"/>
      <c r="BK10" s="1056"/>
      <c r="BL10" s="1056"/>
      <c r="BM10" s="1056"/>
      <c r="BN10" s="1056"/>
      <c r="BO10" s="1056"/>
      <c r="BP10" s="1056"/>
      <c r="BQ10" s="1056"/>
      <c r="BR10" s="1056"/>
      <c r="BS10" s="1056"/>
      <c r="BT10" s="1056"/>
      <c r="BU10" s="1056"/>
      <c r="BV10" s="1056"/>
      <c r="BW10" s="1056"/>
      <c r="BX10" s="1056"/>
      <c r="BY10" s="1056"/>
      <c r="BZ10" s="1056"/>
      <c r="CA10" s="1056"/>
      <c r="CB10" s="1056"/>
      <c r="CC10" s="1056"/>
      <c r="CD10" s="1056"/>
      <c r="CE10" s="1056"/>
      <c r="CF10" s="1056"/>
      <c r="CG10" s="1056"/>
      <c r="CH10" s="1056"/>
      <c r="CI10" s="1056"/>
      <c r="CJ10" s="1056"/>
      <c r="CK10" s="1056"/>
      <c r="CL10" s="1056"/>
      <c r="CM10" s="1056"/>
      <c r="CN10" s="1056"/>
      <c r="CO10" s="1056"/>
      <c r="CP10" s="1056"/>
      <c r="CQ10" s="1056"/>
      <c r="CR10" s="1056"/>
      <c r="CS10" s="1056"/>
      <c r="CT10" s="1056"/>
      <c r="CU10" s="1056"/>
      <c r="CV10" s="1056"/>
      <c r="CW10" s="1056"/>
      <c r="CX10" s="1056"/>
      <c r="CY10" s="1056"/>
      <c r="CZ10" s="1056"/>
      <c r="DA10" s="1056"/>
      <c r="DB10" s="1056"/>
      <c r="DC10" s="1056"/>
      <c r="DD10" s="1056"/>
      <c r="DE10" s="1056"/>
      <c r="DF10" s="1056"/>
      <c r="DG10" s="1056"/>
      <c r="DH10" s="1056"/>
      <c r="DI10" s="1056"/>
      <c r="DJ10" s="1056"/>
      <c r="DK10" s="1056"/>
      <c r="DL10" s="1056"/>
      <c r="DM10" s="1056"/>
      <c r="DN10" s="1056"/>
      <c r="DO10" s="1056"/>
      <c r="DP10" s="1056"/>
      <c r="DQ10" s="1056"/>
      <c r="DR10" s="1056"/>
      <c r="DS10" s="1056"/>
      <c r="DT10" s="1056"/>
      <c r="DU10" s="1056"/>
      <c r="DV10" s="1056"/>
      <c r="DW10" s="1056"/>
      <c r="DX10" s="1056"/>
      <c r="DY10" s="1056"/>
      <c r="DZ10" s="1056"/>
      <c r="EA10" s="1056"/>
      <c r="EB10" s="1056"/>
      <c r="EC10" s="1056"/>
      <c r="ED10" s="1056"/>
      <c r="EE10" s="1056"/>
      <c r="EF10" s="1056"/>
      <c r="EG10" s="1056"/>
      <c r="EH10" s="1056"/>
      <c r="EI10" s="1056"/>
      <c r="EJ10" s="1056"/>
      <c r="EK10" s="1056"/>
      <c r="EL10" s="1056"/>
      <c r="EM10" s="1056"/>
      <c r="EN10" s="1056"/>
      <c r="EO10" s="1056"/>
      <c r="EP10" s="1056"/>
      <c r="EQ10" s="1056"/>
      <c r="ER10" s="1056"/>
      <c r="ES10" s="1056"/>
      <c r="ET10" s="1056"/>
      <c r="EU10" s="1056"/>
      <c r="EV10" s="1056"/>
      <c r="EW10" s="1056"/>
      <c r="EX10" s="1056"/>
      <c r="EY10" s="1056"/>
      <c r="EZ10" s="1056"/>
      <c r="FA10" s="1056"/>
      <c r="FB10" s="1056"/>
      <c r="FC10" s="1056"/>
      <c r="FD10" s="1056"/>
      <c r="FE10" s="1056"/>
      <c r="FF10" s="1056"/>
      <c r="FG10" s="1056"/>
      <c r="FH10" s="1056"/>
      <c r="FI10" s="1056"/>
      <c r="FJ10" s="1056"/>
      <c r="FK10" s="1056"/>
      <c r="FL10" s="1056"/>
      <c r="FM10" s="1056"/>
      <c r="FN10" s="1056"/>
      <c r="FO10" s="1056"/>
      <c r="FP10" s="1056"/>
      <c r="FQ10" s="1056"/>
      <c r="FR10" s="1056"/>
      <c r="FS10" s="1056"/>
      <c r="FT10" s="1056"/>
      <c r="FU10" s="1056"/>
      <c r="FV10" s="1056"/>
      <c r="FW10" s="1056"/>
      <c r="FX10" s="1056"/>
      <c r="FY10" s="1056"/>
      <c r="FZ10" s="1056"/>
      <c r="GA10" s="1056"/>
      <c r="GB10" s="1056"/>
      <c r="GC10" s="1056"/>
      <c r="GD10" s="1056"/>
      <c r="GE10" s="1056"/>
      <c r="GF10" s="1056"/>
      <c r="GG10" s="1056"/>
      <c r="GH10" s="1056"/>
      <c r="GI10" s="1056"/>
      <c r="GJ10" s="1056"/>
      <c r="GK10" s="1056"/>
      <c r="GL10" s="1056"/>
      <c r="GM10" s="1056"/>
      <c r="GN10" s="1056"/>
      <c r="GO10" s="1056"/>
      <c r="GP10" s="1056"/>
      <c r="GQ10" s="1056"/>
      <c r="GR10" s="1056"/>
      <c r="GS10" s="1056"/>
      <c r="GT10" s="1056"/>
      <c r="GU10" s="1056"/>
      <c r="GV10" s="1056"/>
      <c r="GW10" s="1056"/>
      <c r="GX10" s="1056"/>
      <c r="GY10" s="1056"/>
      <c r="GZ10" s="1056"/>
      <c r="HA10" s="1056"/>
      <c r="HB10" s="1056"/>
      <c r="HC10" s="1056"/>
      <c r="HD10" s="1056"/>
      <c r="HE10" s="1056"/>
      <c r="HF10" s="1056"/>
      <c r="HG10" s="1056"/>
      <c r="HH10" s="1056"/>
      <c r="HI10" s="1056"/>
      <c r="HJ10" s="1056"/>
      <c r="HK10" s="1056"/>
      <c r="HL10" s="1056"/>
      <c r="HM10" s="1056"/>
      <c r="HN10" s="1056"/>
      <c r="HO10" s="1056"/>
      <c r="HP10" s="1056"/>
      <c r="HQ10" s="1056"/>
      <c r="HR10" s="1056"/>
      <c r="HS10" s="1056"/>
      <c r="HT10" s="1056"/>
      <c r="HU10" s="1056"/>
      <c r="HV10" s="1056"/>
      <c r="HW10" s="1056"/>
      <c r="HX10" s="1056"/>
      <c r="HY10" s="1056"/>
      <c r="HZ10" s="1056"/>
      <c r="IA10" s="1056"/>
      <c r="IB10" s="1056"/>
      <c r="IC10" s="1056"/>
      <c r="ID10" s="1056"/>
      <c r="IE10" s="1056"/>
      <c r="IF10" s="1056"/>
      <c r="IG10" s="1056"/>
      <c r="IH10" s="1056"/>
      <c r="II10" s="1056"/>
      <c r="IJ10" s="1056"/>
      <c r="IK10" s="1056"/>
      <c r="IL10" s="1056"/>
      <c r="IM10" s="1056"/>
      <c r="IN10" s="1056"/>
      <c r="IO10" s="1056"/>
      <c r="IP10" s="1056"/>
      <c r="IQ10" s="1056"/>
      <c r="IR10" s="1056"/>
      <c r="IS10" s="1056"/>
      <c r="IT10" s="1056"/>
    </row>
    <row r="11" spans="1:254" x14ac:dyDescent="0.25">
      <c r="A11" s="1088"/>
      <c r="B11" s="1089"/>
      <c r="C11" s="1089"/>
      <c r="D11" s="1100"/>
      <c r="E11" s="1089"/>
      <c r="F11" s="1089"/>
      <c r="G11" s="905">
        <v>89</v>
      </c>
      <c r="H11" s="1101" t="s">
        <v>52</v>
      </c>
      <c r="I11" s="1101"/>
      <c r="J11" s="1101"/>
      <c r="K11" s="1102"/>
      <c r="L11" s="1102"/>
      <c r="M11" s="1103"/>
      <c r="N11" s="1104"/>
      <c r="O11" s="1102"/>
      <c r="P11" s="1102"/>
      <c r="Q11" s="1105"/>
      <c r="R11" s="1106"/>
      <c r="S11" s="1102"/>
      <c r="T11" s="1102"/>
      <c r="U11" s="1102"/>
      <c r="V11" s="1107"/>
      <c r="W11" s="1108"/>
      <c r="X11" s="1102"/>
      <c r="Y11" s="1109"/>
      <c r="Z11" s="1109"/>
      <c r="AA11" s="1109"/>
      <c r="AB11" s="1109"/>
      <c r="AC11" s="1109"/>
      <c r="AD11" s="1109"/>
      <c r="AE11" s="1109"/>
      <c r="AF11" s="1109"/>
      <c r="AG11" s="1109"/>
      <c r="AH11" s="1109"/>
      <c r="AI11" s="1109"/>
      <c r="AJ11" s="1109"/>
      <c r="AK11" s="1109"/>
      <c r="AL11" s="1109"/>
      <c r="AM11" s="1109"/>
      <c r="AN11" s="1109"/>
      <c r="AO11" s="1110"/>
      <c r="AP11" s="1110"/>
      <c r="AQ11" s="1111"/>
      <c r="AR11" s="1056"/>
      <c r="AS11" s="1056"/>
      <c r="AT11" s="1056"/>
      <c r="AU11" s="1056"/>
      <c r="AV11" s="1056"/>
      <c r="AW11" s="1056"/>
      <c r="AX11" s="1056"/>
      <c r="AY11" s="1056"/>
      <c r="AZ11" s="1056"/>
      <c r="BA11" s="1056"/>
      <c r="BB11" s="1056"/>
      <c r="BC11" s="1056"/>
      <c r="BD11" s="1056"/>
      <c r="BE11" s="1056"/>
      <c r="BF11" s="1056"/>
      <c r="BG11" s="1056"/>
      <c r="BH11" s="1056"/>
      <c r="BI11" s="1056"/>
      <c r="BJ11" s="1056"/>
      <c r="BK11" s="1056"/>
      <c r="BL11" s="1056"/>
      <c r="BM11" s="1056"/>
      <c r="BN11" s="1056"/>
      <c r="BO11" s="1056"/>
      <c r="BP11" s="1056"/>
      <c r="BQ11" s="1056"/>
      <c r="BR11" s="1056"/>
      <c r="BS11" s="1056"/>
      <c r="BT11" s="1056"/>
      <c r="BU11" s="1056"/>
      <c r="BV11" s="1056"/>
      <c r="BW11" s="1056"/>
      <c r="BX11" s="1056"/>
      <c r="BY11" s="1056"/>
      <c r="BZ11" s="1056"/>
      <c r="CA11" s="1056"/>
      <c r="CB11" s="1056"/>
      <c r="CC11" s="1056"/>
      <c r="CD11" s="1056"/>
      <c r="CE11" s="1056"/>
      <c r="CF11" s="1056"/>
      <c r="CG11" s="1056"/>
      <c r="CH11" s="1056"/>
      <c r="CI11" s="1056"/>
      <c r="CJ11" s="1056"/>
      <c r="CK11" s="1056"/>
      <c r="CL11" s="1056"/>
      <c r="CM11" s="1056"/>
      <c r="CN11" s="1056"/>
      <c r="CO11" s="1056"/>
      <c r="CP11" s="1056"/>
      <c r="CQ11" s="1056"/>
      <c r="CR11" s="1056"/>
      <c r="CS11" s="1056"/>
      <c r="CT11" s="1056"/>
      <c r="CU11" s="1056"/>
      <c r="CV11" s="1056"/>
      <c r="CW11" s="1056"/>
      <c r="CX11" s="1056"/>
      <c r="CY11" s="1056"/>
      <c r="CZ11" s="1056"/>
      <c r="DA11" s="1056"/>
      <c r="DB11" s="1056"/>
      <c r="DC11" s="1056"/>
      <c r="DD11" s="1056"/>
      <c r="DE11" s="1056"/>
      <c r="DF11" s="1056"/>
      <c r="DG11" s="1056"/>
      <c r="DH11" s="1056"/>
      <c r="DI11" s="1056"/>
      <c r="DJ11" s="1056"/>
      <c r="DK11" s="1056"/>
      <c r="DL11" s="1056"/>
      <c r="DM11" s="1056"/>
      <c r="DN11" s="1056"/>
      <c r="DO11" s="1056"/>
      <c r="DP11" s="1056"/>
      <c r="DQ11" s="1056"/>
      <c r="DR11" s="1056"/>
      <c r="DS11" s="1056"/>
      <c r="DT11" s="1056"/>
      <c r="DU11" s="1056"/>
      <c r="DV11" s="1056"/>
      <c r="DW11" s="1056"/>
      <c r="DX11" s="1056"/>
      <c r="DY11" s="1056"/>
      <c r="DZ11" s="1056"/>
      <c r="EA11" s="1056"/>
      <c r="EB11" s="1056"/>
      <c r="EC11" s="1056"/>
      <c r="ED11" s="1056"/>
      <c r="EE11" s="1056"/>
      <c r="EF11" s="1056"/>
      <c r="EG11" s="1056"/>
      <c r="EH11" s="1056"/>
      <c r="EI11" s="1056"/>
      <c r="EJ11" s="1056"/>
      <c r="EK11" s="1056"/>
      <c r="EL11" s="1056"/>
      <c r="EM11" s="1056"/>
      <c r="EN11" s="1056"/>
      <c r="EO11" s="1056"/>
      <c r="EP11" s="1056"/>
      <c r="EQ11" s="1056"/>
      <c r="ER11" s="1056"/>
      <c r="ES11" s="1056"/>
      <c r="ET11" s="1056"/>
      <c r="EU11" s="1056"/>
      <c r="EV11" s="1056"/>
      <c r="EW11" s="1056"/>
      <c r="EX11" s="1056"/>
      <c r="EY11" s="1056"/>
      <c r="EZ11" s="1056"/>
      <c r="FA11" s="1056"/>
      <c r="FB11" s="1056"/>
      <c r="FC11" s="1056"/>
      <c r="FD11" s="1056"/>
      <c r="FE11" s="1056"/>
      <c r="FF11" s="1056"/>
      <c r="FG11" s="1056"/>
      <c r="FH11" s="1056"/>
      <c r="FI11" s="1056"/>
      <c r="FJ11" s="1056"/>
      <c r="FK11" s="1056"/>
      <c r="FL11" s="1056"/>
      <c r="FM11" s="1056"/>
      <c r="FN11" s="1056"/>
      <c r="FO11" s="1056"/>
      <c r="FP11" s="1056"/>
      <c r="FQ11" s="1056"/>
      <c r="FR11" s="1056"/>
      <c r="FS11" s="1056"/>
      <c r="FT11" s="1056"/>
      <c r="FU11" s="1056"/>
      <c r="FV11" s="1056"/>
      <c r="FW11" s="1056"/>
      <c r="FX11" s="1056"/>
      <c r="FY11" s="1056"/>
      <c r="FZ11" s="1056"/>
      <c r="GA11" s="1056"/>
      <c r="GB11" s="1056"/>
      <c r="GC11" s="1056"/>
      <c r="GD11" s="1056"/>
      <c r="GE11" s="1056"/>
      <c r="GF11" s="1056"/>
      <c r="GG11" s="1056"/>
      <c r="GH11" s="1056"/>
      <c r="GI11" s="1056"/>
      <c r="GJ11" s="1056"/>
      <c r="GK11" s="1056"/>
      <c r="GL11" s="1056"/>
      <c r="GM11" s="1056"/>
      <c r="GN11" s="1056"/>
      <c r="GO11" s="1056"/>
      <c r="GP11" s="1056"/>
      <c r="GQ11" s="1056"/>
      <c r="GR11" s="1056"/>
      <c r="GS11" s="1056"/>
      <c r="GT11" s="1056"/>
      <c r="GU11" s="1056"/>
      <c r="GV11" s="1056"/>
      <c r="GW11" s="1056"/>
      <c r="GX11" s="1056"/>
      <c r="GY11" s="1056"/>
      <c r="GZ11" s="1056"/>
      <c r="HA11" s="1056"/>
      <c r="HB11" s="1056"/>
      <c r="HC11" s="1056"/>
      <c r="HD11" s="1056"/>
      <c r="HE11" s="1056"/>
      <c r="HF11" s="1056"/>
      <c r="HG11" s="1056"/>
      <c r="HH11" s="1056"/>
      <c r="HI11" s="1056"/>
      <c r="HJ11" s="1056"/>
      <c r="HK11" s="1056"/>
      <c r="HL11" s="1056"/>
      <c r="HM11" s="1056"/>
      <c r="HN11" s="1056"/>
      <c r="HO11" s="1056"/>
      <c r="HP11" s="1056"/>
      <c r="HQ11" s="1056"/>
      <c r="HR11" s="1056"/>
      <c r="HS11" s="1056"/>
      <c r="HT11" s="1056"/>
      <c r="HU11" s="1056"/>
      <c r="HV11" s="1056"/>
      <c r="HW11" s="1056"/>
      <c r="HX11" s="1056"/>
      <c r="HY11" s="1056"/>
      <c r="HZ11" s="1056"/>
      <c r="IA11" s="1056"/>
      <c r="IB11" s="1056"/>
      <c r="IC11" s="1056"/>
      <c r="ID11" s="1056"/>
      <c r="IE11" s="1056"/>
      <c r="IF11" s="1056"/>
      <c r="IG11" s="1056"/>
      <c r="IH11" s="1056"/>
      <c r="II11" s="1056"/>
      <c r="IJ11" s="1056"/>
      <c r="IK11" s="1056"/>
      <c r="IL11" s="1056"/>
      <c r="IM11" s="1056"/>
      <c r="IN11" s="1056"/>
      <c r="IO11" s="1056"/>
      <c r="IP11" s="1056"/>
      <c r="IQ11" s="1056"/>
      <c r="IR11" s="1056"/>
      <c r="IS11" s="1056"/>
      <c r="IT11" s="1056"/>
    </row>
    <row r="12" spans="1:254" ht="95.25" customHeight="1" x14ac:dyDescent="0.25">
      <c r="A12" s="1112"/>
      <c r="B12" s="1113"/>
      <c r="C12" s="1113"/>
      <c r="D12" s="1114"/>
      <c r="E12" s="1113"/>
      <c r="F12" s="1113"/>
      <c r="G12" s="1115"/>
      <c r="H12" s="1113"/>
      <c r="I12" s="1113"/>
      <c r="J12" s="2646">
        <v>275</v>
      </c>
      <c r="K12" s="2812" t="s">
        <v>984</v>
      </c>
      <c r="L12" s="2812" t="s">
        <v>985</v>
      </c>
      <c r="M12" s="2646">
        <v>4</v>
      </c>
      <c r="N12" s="2646" t="s">
        <v>986</v>
      </c>
      <c r="O12" s="2744" t="s">
        <v>987</v>
      </c>
      <c r="P12" s="2623" t="s">
        <v>988</v>
      </c>
      <c r="Q12" s="2832">
        <f>+(V12+V13)/R12</f>
        <v>0.68858978648781655</v>
      </c>
      <c r="R12" s="2831">
        <f>SUM(V12:V18)</f>
        <v>1905945991</v>
      </c>
      <c r="S12" s="2623" t="s">
        <v>989</v>
      </c>
      <c r="T12" s="2812" t="s">
        <v>990</v>
      </c>
      <c r="U12" s="2840" t="s">
        <v>991</v>
      </c>
      <c r="V12" s="1116">
        <v>952473039</v>
      </c>
      <c r="W12" s="1117">
        <v>20</v>
      </c>
      <c r="X12" s="1118" t="s">
        <v>992</v>
      </c>
      <c r="Y12" s="2829">
        <v>294321</v>
      </c>
      <c r="Z12" s="2823">
        <v>283947</v>
      </c>
      <c r="AA12" s="2823">
        <v>135754</v>
      </c>
      <c r="AB12" s="2823">
        <v>44640</v>
      </c>
      <c r="AC12" s="2823">
        <v>308178</v>
      </c>
      <c r="AD12" s="2823">
        <v>89696</v>
      </c>
      <c r="AE12" s="2823">
        <v>2145</v>
      </c>
      <c r="AF12" s="2823">
        <v>12718</v>
      </c>
      <c r="AG12" s="2823">
        <v>26</v>
      </c>
      <c r="AH12" s="2823">
        <v>37</v>
      </c>
      <c r="AI12" s="2823"/>
      <c r="AJ12" s="2823"/>
      <c r="AK12" s="2823">
        <v>54612</v>
      </c>
      <c r="AL12" s="2823">
        <v>21944</v>
      </c>
      <c r="AM12" s="2823">
        <v>1010</v>
      </c>
      <c r="AN12" s="2823">
        <f>+Y12+Z12</f>
        <v>578268</v>
      </c>
      <c r="AO12" s="2826">
        <v>43473</v>
      </c>
      <c r="AP12" s="2826">
        <v>43830</v>
      </c>
      <c r="AQ12" s="2819" t="s">
        <v>993</v>
      </c>
      <c r="AR12" s="1056"/>
      <c r="AS12" s="1056"/>
      <c r="AT12" s="1056"/>
      <c r="AU12" s="1056"/>
      <c r="AV12" s="1056"/>
      <c r="AW12" s="1056"/>
      <c r="AX12" s="1056"/>
      <c r="AY12" s="1056"/>
      <c r="AZ12" s="1056"/>
      <c r="BA12" s="1056"/>
      <c r="BB12" s="1056"/>
      <c r="BC12" s="1056"/>
      <c r="BD12" s="1056"/>
      <c r="BE12" s="1056"/>
      <c r="BF12" s="1056"/>
      <c r="BG12" s="1056"/>
      <c r="BH12" s="1056"/>
      <c r="BI12" s="1056"/>
      <c r="BJ12" s="1056"/>
      <c r="BK12" s="1056"/>
      <c r="BL12" s="1056"/>
      <c r="BM12" s="1056"/>
      <c r="BN12" s="1056"/>
      <c r="BO12" s="1056"/>
      <c r="BP12" s="1056"/>
      <c r="BQ12" s="1056"/>
      <c r="BR12" s="1056"/>
      <c r="BS12" s="1056"/>
      <c r="BT12" s="1056"/>
      <c r="BU12" s="1056"/>
      <c r="BV12" s="1056"/>
      <c r="BW12" s="1056"/>
      <c r="BX12" s="1056"/>
      <c r="BY12" s="1056"/>
      <c r="BZ12" s="1056"/>
      <c r="CA12" s="1056"/>
      <c r="CB12" s="1056"/>
      <c r="CC12" s="1056"/>
      <c r="CD12" s="1056"/>
      <c r="CE12" s="1056"/>
      <c r="CF12" s="1056"/>
      <c r="CG12" s="1056"/>
      <c r="CH12" s="1056"/>
      <c r="CI12" s="1056"/>
      <c r="CJ12" s="1056"/>
      <c r="CK12" s="1056"/>
      <c r="CL12" s="1056"/>
      <c r="CM12" s="1056"/>
      <c r="CN12" s="1056"/>
      <c r="CO12" s="1056"/>
      <c r="CP12" s="1056"/>
      <c r="CQ12" s="1056"/>
      <c r="CR12" s="1056"/>
      <c r="CS12" s="1056"/>
      <c r="CT12" s="1056"/>
      <c r="CU12" s="1056"/>
      <c r="CV12" s="1056"/>
      <c r="CW12" s="1056"/>
      <c r="CX12" s="1056"/>
      <c r="CY12" s="1056"/>
      <c r="CZ12" s="1056"/>
      <c r="DA12" s="1056"/>
      <c r="DB12" s="1056"/>
      <c r="DC12" s="1056"/>
      <c r="DD12" s="1056"/>
      <c r="DE12" s="1056"/>
      <c r="DF12" s="1056"/>
      <c r="DG12" s="1056"/>
      <c r="DH12" s="1056"/>
      <c r="DI12" s="1056"/>
      <c r="DJ12" s="1056"/>
      <c r="DK12" s="1056"/>
      <c r="DL12" s="1056"/>
      <c r="DM12" s="1056"/>
      <c r="DN12" s="1056"/>
      <c r="DO12" s="1056"/>
      <c r="DP12" s="1056"/>
      <c r="DQ12" s="1056"/>
      <c r="DR12" s="1056"/>
      <c r="DS12" s="1056"/>
      <c r="DT12" s="1056"/>
      <c r="DU12" s="1056"/>
      <c r="DV12" s="1056"/>
      <c r="DW12" s="1056"/>
      <c r="DX12" s="1056"/>
      <c r="DY12" s="1056"/>
      <c r="DZ12" s="1056"/>
      <c r="EA12" s="1056"/>
      <c r="EB12" s="1056"/>
      <c r="EC12" s="1056"/>
      <c r="ED12" s="1056"/>
      <c r="EE12" s="1056"/>
      <c r="EF12" s="1056"/>
      <c r="EG12" s="1056"/>
      <c r="EH12" s="1056"/>
      <c r="EI12" s="1056"/>
      <c r="EJ12" s="1056"/>
      <c r="EK12" s="1056"/>
      <c r="EL12" s="1056"/>
      <c r="EM12" s="1056"/>
      <c r="EN12" s="1056"/>
      <c r="EO12" s="1056"/>
      <c r="EP12" s="1056"/>
      <c r="EQ12" s="1056"/>
      <c r="ER12" s="1056"/>
      <c r="ES12" s="1056"/>
      <c r="ET12" s="1056"/>
      <c r="EU12" s="1056"/>
      <c r="EV12" s="1056"/>
      <c r="EW12" s="1056"/>
      <c r="EX12" s="1056"/>
      <c r="EY12" s="1056"/>
      <c r="EZ12" s="1056"/>
      <c r="FA12" s="1056"/>
      <c r="FB12" s="1056"/>
      <c r="FC12" s="1056"/>
      <c r="FD12" s="1056"/>
      <c r="FE12" s="1056"/>
      <c r="FF12" s="1056"/>
      <c r="FG12" s="1056"/>
      <c r="FH12" s="1056"/>
      <c r="FI12" s="1056"/>
      <c r="FJ12" s="1056"/>
      <c r="FK12" s="1056"/>
      <c r="FL12" s="1056"/>
      <c r="FM12" s="1056"/>
      <c r="FN12" s="1056"/>
      <c r="FO12" s="1056"/>
      <c r="FP12" s="1056"/>
      <c r="FQ12" s="1056"/>
      <c r="FR12" s="1056"/>
      <c r="FS12" s="1056"/>
      <c r="FT12" s="1056"/>
      <c r="FU12" s="1056"/>
      <c r="FV12" s="1056"/>
      <c r="FW12" s="1056"/>
      <c r="FX12" s="1056"/>
      <c r="FY12" s="1056"/>
      <c r="FZ12" s="1056"/>
      <c r="GA12" s="1056"/>
      <c r="GB12" s="1056"/>
      <c r="GC12" s="1056"/>
      <c r="GD12" s="1056"/>
      <c r="GE12" s="1056"/>
      <c r="GF12" s="1056"/>
      <c r="GG12" s="1056"/>
      <c r="GH12" s="1056"/>
      <c r="GI12" s="1056"/>
      <c r="GJ12" s="1056"/>
      <c r="GK12" s="1056"/>
      <c r="GL12" s="1056"/>
      <c r="GM12" s="1056"/>
      <c r="GN12" s="1056"/>
      <c r="GO12" s="1056"/>
      <c r="GP12" s="1056"/>
      <c r="GQ12" s="1056"/>
      <c r="GR12" s="1056"/>
      <c r="GS12" s="1056"/>
      <c r="GT12" s="1056"/>
      <c r="GU12" s="1056"/>
      <c r="GV12" s="1056"/>
      <c r="GW12" s="1056"/>
      <c r="GX12" s="1056"/>
      <c r="GY12" s="1056"/>
      <c r="GZ12" s="1056"/>
      <c r="HA12" s="1056"/>
      <c r="HB12" s="1056"/>
      <c r="HC12" s="1056"/>
      <c r="HD12" s="1056"/>
      <c r="HE12" s="1056"/>
      <c r="HF12" s="1056"/>
      <c r="HG12" s="1056"/>
      <c r="HH12" s="1056"/>
      <c r="HI12" s="1056"/>
      <c r="HJ12" s="1056"/>
      <c r="HK12" s="1056"/>
      <c r="HL12" s="1056"/>
      <c r="HM12" s="1056"/>
      <c r="HN12" s="1056"/>
      <c r="HO12" s="1056"/>
      <c r="HP12" s="1056"/>
      <c r="HQ12" s="1056"/>
      <c r="HR12" s="1056"/>
      <c r="HS12" s="1056"/>
      <c r="HT12" s="1056"/>
      <c r="HU12" s="1056"/>
      <c r="HV12" s="1056"/>
      <c r="HW12" s="1056"/>
      <c r="HX12" s="1056"/>
      <c r="HY12" s="1056"/>
      <c r="HZ12" s="1056"/>
      <c r="IA12" s="1056"/>
      <c r="IB12" s="1056"/>
      <c r="IC12" s="1056"/>
      <c r="ID12" s="1056"/>
      <c r="IE12" s="1056"/>
      <c r="IF12" s="1056"/>
      <c r="IG12" s="1056"/>
      <c r="IH12" s="1056"/>
      <c r="II12" s="1056"/>
      <c r="IJ12" s="1056"/>
      <c r="IK12" s="1056"/>
      <c r="IL12" s="1056"/>
      <c r="IM12" s="1056"/>
      <c r="IN12" s="1056"/>
      <c r="IO12" s="1056"/>
      <c r="IP12" s="1056"/>
      <c r="IQ12" s="1056"/>
      <c r="IR12" s="1056"/>
      <c r="IS12" s="1056"/>
      <c r="IT12" s="1056"/>
    </row>
    <row r="13" spans="1:254" ht="43.5" customHeight="1" x14ac:dyDescent="0.25">
      <c r="A13" s="1112"/>
      <c r="B13" s="1113"/>
      <c r="C13" s="1113"/>
      <c r="D13" s="1114"/>
      <c r="E13" s="1113"/>
      <c r="F13" s="1113"/>
      <c r="G13" s="1114"/>
      <c r="H13" s="1113"/>
      <c r="I13" s="1113"/>
      <c r="J13" s="2745"/>
      <c r="K13" s="2813"/>
      <c r="L13" s="2813"/>
      <c r="M13" s="2745"/>
      <c r="N13" s="2647"/>
      <c r="O13" s="2744"/>
      <c r="P13" s="2623"/>
      <c r="Q13" s="2833"/>
      <c r="R13" s="2831"/>
      <c r="S13" s="2623"/>
      <c r="T13" s="2813"/>
      <c r="U13" s="2841"/>
      <c r="V13" s="1119">
        <f>0+359941904</f>
        <v>359941904</v>
      </c>
      <c r="W13" s="1117">
        <v>88</v>
      </c>
      <c r="X13" s="1118" t="s">
        <v>358</v>
      </c>
      <c r="Y13" s="2830"/>
      <c r="Z13" s="2824"/>
      <c r="AA13" s="2824"/>
      <c r="AB13" s="2824"/>
      <c r="AC13" s="2824"/>
      <c r="AD13" s="2824"/>
      <c r="AE13" s="2824"/>
      <c r="AF13" s="2824"/>
      <c r="AG13" s="2824"/>
      <c r="AH13" s="2824"/>
      <c r="AI13" s="2824"/>
      <c r="AJ13" s="2824"/>
      <c r="AK13" s="2824"/>
      <c r="AL13" s="2824"/>
      <c r="AM13" s="2824"/>
      <c r="AN13" s="2824"/>
      <c r="AO13" s="2827"/>
      <c r="AP13" s="2827"/>
      <c r="AQ13" s="2819"/>
      <c r="AR13" s="1056"/>
      <c r="AS13" s="1056"/>
      <c r="AT13" s="1056"/>
      <c r="AU13" s="1056"/>
      <c r="AV13" s="1056"/>
      <c r="AW13" s="1056"/>
      <c r="AX13" s="1056"/>
      <c r="AY13" s="1056"/>
      <c r="AZ13" s="1056"/>
      <c r="BA13" s="1056"/>
      <c r="BB13" s="1056"/>
      <c r="BC13" s="1056"/>
      <c r="BD13" s="1056"/>
      <c r="BE13" s="1056"/>
      <c r="BF13" s="1056"/>
      <c r="BG13" s="1056"/>
      <c r="BH13" s="1056"/>
      <c r="BI13" s="1056"/>
      <c r="BJ13" s="1056"/>
      <c r="BK13" s="1056"/>
      <c r="BL13" s="1056"/>
      <c r="BM13" s="1056"/>
      <c r="BN13" s="1056"/>
      <c r="BO13" s="1056"/>
      <c r="BP13" s="1056"/>
      <c r="BQ13" s="1056"/>
      <c r="BR13" s="1056"/>
      <c r="BS13" s="1056"/>
      <c r="BT13" s="1056"/>
      <c r="BU13" s="1056"/>
      <c r="BV13" s="1056"/>
      <c r="BW13" s="1056"/>
      <c r="BX13" s="1056"/>
      <c r="BY13" s="1056"/>
      <c r="BZ13" s="1056"/>
      <c r="CA13" s="1056"/>
      <c r="CB13" s="1056"/>
      <c r="CC13" s="1056"/>
      <c r="CD13" s="1056"/>
      <c r="CE13" s="1056"/>
      <c r="CF13" s="1056"/>
      <c r="CG13" s="1056"/>
      <c r="CH13" s="1056"/>
      <c r="CI13" s="1056"/>
      <c r="CJ13" s="1056"/>
      <c r="CK13" s="1056"/>
      <c r="CL13" s="1056"/>
      <c r="CM13" s="1056"/>
      <c r="CN13" s="1056"/>
      <c r="CO13" s="1056"/>
      <c r="CP13" s="1056"/>
      <c r="CQ13" s="1056"/>
      <c r="CR13" s="1056"/>
      <c r="CS13" s="1056"/>
      <c r="CT13" s="1056"/>
      <c r="CU13" s="1056"/>
      <c r="CV13" s="1056"/>
      <c r="CW13" s="1056"/>
      <c r="CX13" s="1056"/>
      <c r="CY13" s="1056"/>
      <c r="CZ13" s="1056"/>
      <c r="DA13" s="1056"/>
      <c r="DB13" s="1056"/>
      <c r="DC13" s="1056"/>
      <c r="DD13" s="1056"/>
      <c r="DE13" s="1056"/>
      <c r="DF13" s="1056"/>
      <c r="DG13" s="1056"/>
      <c r="DH13" s="1056"/>
      <c r="DI13" s="1056"/>
      <c r="DJ13" s="1056"/>
      <c r="DK13" s="1056"/>
      <c r="DL13" s="1056"/>
      <c r="DM13" s="1056"/>
      <c r="DN13" s="1056"/>
      <c r="DO13" s="1056"/>
      <c r="DP13" s="1056"/>
      <c r="DQ13" s="1056"/>
      <c r="DR13" s="1056"/>
      <c r="DS13" s="1056"/>
      <c r="DT13" s="1056"/>
      <c r="DU13" s="1056"/>
      <c r="DV13" s="1056"/>
      <c r="DW13" s="1056"/>
      <c r="DX13" s="1056"/>
      <c r="DY13" s="1056"/>
      <c r="DZ13" s="1056"/>
      <c r="EA13" s="1056"/>
      <c r="EB13" s="1056"/>
      <c r="EC13" s="1056"/>
      <c r="ED13" s="1056"/>
      <c r="EE13" s="1056"/>
      <c r="EF13" s="1056"/>
      <c r="EG13" s="1056"/>
      <c r="EH13" s="1056"/>
      <c r="EI13" s="1056"/>
      <c r="EJ13" s="1056"/>
      <c r="EK13" s="1056"/>
      <c r="EL13" s="1056"/>
      <c r="EM13" s="1056"/>
      <c r="EN13" s="1056"/>
      <c r="EO13" s="1056"/>
      <c r="EP13" s="1056"/>
      <c r="EQ13" s="1056"/>
      <c r="ER13" s="1056"/>
      <c r="ES13" s="1056"/>
      <c r="ET13" s="1056"/>
      <c r="EU13" s="1056"/>
      <c r="EV13" s="1056"/>
      <c r="EW13" s="1056"/>
      <c r="EX13" s="1056"/>
      <c r="EY13" s="1056"/>
      <c r="EZ13" s="1056"/>
      <c r="FA13" s="1056"/>
      <c r="FB13" s="1056"/>
      <c r="FC13" s="1056"/>
      <c r="FD13" s="1056"/>
      <c r="FE13" s="1056"/>
      <c r="FF13" s="1056"/>
      <c r="FG13" s="1056"/>
      <c r="FH13" s="1056"/>
      <c r="FI13" s="1056"/>
      <c r="FJ13" s="1056"/>
      <c r="FK13" s="1056"/>
      <c r="FL13" s="1056"/>
      <c r="FM13" s="1056"/>
      <c r="FN13" s="1056"/>
      <c r="FO13" s="1056"/>
      <c r="FP13" s="1056"/>
      <c r="FQ13" s="1056"/>
      <c r="FR13" s="1056"/>
      <c r="FS13" s="1056"/>
      <c r="FT13" s="1056"/>
      <c r="FU13" s="1056"/>
      <c r="FV13" s="1056"/>
      <c r="FW13" s="1056"/>
      <c r="FX13" s="1056"/>
      <c r="FY13" s="1056"/>
      <c r="FZ13" s="1056"/>
      <c r="GA13" s="1056"/>
      <c r="GB13" s="1056"/>
      <c r="GC13" s="1056"/>
      <c r="GD13" s="1056"/>
      <c r="GE13" s="1056"/>
      <c r="GF13" s="1056"/>
      <c r="GG13" s="1056"/>
      <c r="GH13" s="1056"/>
      <c r="GI13" s="1056"/>
      <c r="GJ13" s="1056"/>
      <c r="GK13" s="1056"/>
      <c r="GL13" s="1056"/>
      <c r="GM13" s="1056"/>
      <c r="GN13" s="1056"/>
      <c r="GO13" s="1056"/>
      <c r="GP13" s="1056"/>
      <c r="GQ13" s="1056"/>
      <c r="GR13" s="1056"/>
      <c r="GS13" s="1056"/>
      <c r="GT13" s="1056"/>
      <c r="GU13" s="1056"/>
      <c r="GV13" s="1056"/>
      <c r="GW13" s="1056"/>
      <c r="GX13" s="1056"/>
      <c r="GY13" s="1056"/>
      <c r="GZ13" s="1056"/>
      <c r="HA13" s="1056"/>
      <c r="HB13" s="1056"/>
      <c r="HC13" s="1056"/>
      <c r="HD13" s="1056"/>
      <c r="HE13" s="1056"/>
      <c r="HF13" s="1056"/>
      <c r="HG13" s="1056"/>
      <c r="HH13" s="1056"/>
      <c r="HI13" s="1056"/>
      <c r="HJ13" s="1056"/>
      <c r="HK13" s="1056"/>
      <c r="HL13" s="1056"/>
      <c r="HM13" s="1056"/>
      <c r="HN13" s="1056"/>
      <c r="HO13" s="1056"/>
      <c r="HP13" s="1056"/>
      <c r="HQ13" s="1056"/>
      <c r="HR13" s="1056"/>
      <c r="HS13" s="1056"/>
      <c r="HT13" s="1056"/>
      <c r="HU13" s="1056"/>
      <c r="HV13" s="1056"/>
      <c r="HW13" s="1056"/>
      <c r="HX13" s="1056"/>
      <c r="HY13" s="1056"/>
      <c r="HZ13" s="1056"/>
      <c r="IA13" s="1056"/>
      <c r="IB13" s="1056"/>
      <c r="IC13" s="1056"/>
      <c r="ID13" s="1056"/>
      <c r="IE13" s="1056"/>
      <c r="IF13" s="1056"/>
      <c r="IG13" s="1056"/>
      <c r="IH13" s="1056"/>
      <c r="II13" s="1056"/>
      <c r="IJ13" s="1056"/>
      <c r="IK13" s="1056"/>
      <c r="IL13" s="1056"/>
      <c r="IM13" s="1056"/>
      <c r="IN13" s="1056"/>
      <c r="IO13" s="1056"/>
      <c r="IP13" s="1056"/>
      <c r="IQ13" s="1056"/>
      <c r="IR13" s="1056"/>
      <c r="IS13" s="1056"/>
      <c r="IT13" s="1056"/>
    </row>
    <row r="14" spans="1:254" ht="78.75" customHeight="1" x14ac:dyDescent="0.25">
      <c r="A14" s="1112"/>
      <c r="B14" s="2820"/>
      <c r="C14" s="2820"/>
      <c r="D14" s="1114"/>
      <c r="E14" s="2820"/>
      <c r="F14" s="2820"/>
      <c r="G14" s="1114"/>
      <c r="H14" s="2820"/>
      <c r="I14" s="2820"/>
      <c r="J14" s="2646">
        <v>276</v>
      </c>
      <c r="K14" s="2701" t="s">
        <v>994</v>
      </c>
      <c r="L14" s="2623" t="s">
        <v>995</v>
      </c>
      <c r="M14" s="2821">
        <v>1</v>
      </c>
      <c r="N14" s="2647"/>
      <c r="O14" s="2744"/>
      <c r="P14" s="2623"/>
      <c r="Q14" s="2822">
        <f>+(V14+V15)/R12</f>
        <v>0.18024175376541401</v>
      </c>
      <c r="R14" s="2831"/>
      <c r="S14" s="2623"/>
      <c r="T14" s="2623" t="s">
        <v>996</v>
      </c>
      <c r="U14" s="2623" t="s">
        <v>997</v>
      </c>
      <c r="V14" s="1120">
        <v>240000000</v>
      </c>
      <c r="W14" s="1117">
        <v>20</v>
      </c>
      <c r="X14" s="1118" t="s">
        <v>998</v>
      </c>
      <c r="Y14" s="2830"/>
      <c r="Z14" s="2824"/>
      <c r="AA14" s="2824"/>
      <c r="AB14" s="2824"/>
      <c r="AC14" s="2824"/>
      <c r="AD14" s="2824"/>
      <c r="AE14" s="2824"/>
      <c r="AF14" s="2824"/>
      <c r="AG14" s="2824"/>
      <c r="AH14" s="2824"/>
      <c r="AI14" s="2824"/>
      <c r="AJ14" s="2824"/>
      <c r="AK14" s="2824"/>
      <c r="AL14" s="2824"/>
      <c r="AM14" s="2824"/>
      <c r="AN14" s="2824"/>
      <c r="AO14" s="2827"/>
      <c r="AP14" s="2827"/>
      <c r="AQ14" s="2819"/>
      <c r="AR14" s="1056"/>
      <c r="AS14" s="1056"/>
      <c r="AT14" s="1056"/>
      <c r="AU14" s="1056"/>
      <c r="AV14" s="1056"/>
      <c r="AW14" s="1056"/>
      <c r="AX14" s="1056"/>
      <c r="AY14" s="1056"/>
      <c r="AZ14" s="1056"/>
      <c r="BA14" s="1056"/>
      <c r="BB14" s="1056"/>
      <c r="BC14" s="1056"/>
      <c r="BD14" s="1056"/>
      <c r="BE14" s="1056"/>
      <c r="BF14" s="1056"/>
      <c r="BG14" s="1056"/>
      <c r="BH14" s="1056"/>
      <c r="BI14" s="1056"/>
      <c r="BJ14" s="1056"/>
      <c r="BK14" s="1056"/>
      <c r="BL14" s="1056"/>
      <c r="BM14" s="1056"/>
      <c r="BN14" s="1056"/>
      <c r="BO14" s="1056"/>
      <c r="BP14" s="1056"/>
      <c r="BQ14" s="1056"/>
      <c r="BR14" s="1056"/>
      <c r="BS14" s="1056"/>
      <c r="BT14" s="1056"/>
      <c r="BU14" s="1056"/>
      <c r="BV14" s="1056"/>
      <c r="BW14" s="1056"/>
      <c r="BX14" s="1056"/>
      <c r="BY14" s="1056"/>
      <c r="BZ14" s="1056"/>
      <c r="CA14" s="1056"/>
      <c r="CB14" s="1056"/>
      <c r="CC14" s="1056"/>
      <c r="CD14" s="1056"/>
      <c r="CE14" s="1056"/>
      <c r="CF14" s="1056"/>
      <c r="CG14" s="1056"/>
      <c r="CH14" s="1056"/>
      <c r="CI14" s="1056"/>
      <c r="CJ14" s="1056"/>
      <c r="CK14" s="1056"/>
      <c r="CL14" s="1056"/>
      <c r="CM14" s="1056"/>
      <c r="CN14" s="1056"/>
      <c r="CO14" s="1056"/>
      <c r="CP14" s="1056"/>
      <c r="CQ14" s="1056"/>
      <c r="CR14" s="1056"/>
      <c r="CS14" s="1056"/>
      <c r="CT14" s="1056"/>
      <c r="CU14" s="1056"/>
      <c r="CV14" s="1056"/>
      <c r="CW14" s="1056"/>
      <c r="CX14" s="1056"/>
      <c r="CY14" s="1056"/>
      <c r="CZ14" s="1056"/>
      <c r="DA14" s="1056"/>
      <c r="DB14" s="1056"/>
      <c r="DC14" s="1056"/>
      <c r="DD14" s="1056"/>
      <c r="DE14" s="1056"/>
      <c r="DF14" s="1056"/>
      <c r="DG14" s="1056"/>
      <c r="DH14" s="1056"/>
      <c r="DI14" s="1056"/>
      <c r="DJ14" s="1056"/>
      <c r="DK14" s="1056"/>
      <c r="DL14" s="1056"/>
      <c r="DM14" s="1056"/>
      <c r="DN14" s="1056"/>
      <c r="DO14" s="1056"/>
      <c r="DP14" s="1056"/>
      <c r="DQ14" s="1056"/>
      <c r="DR14" s="1056"/>
      <c r="DS14" s="1056"/>
      <c r="DT14" s="1056"/>
      <c r="DU14" s="1056"/>
      <c r="DV14" s="1056"/>
      <c r="DW14" s="1056"/>
      <c r="DX14" s="1056"/>
      <c r="DY14" s="1056"/>
      <c r="DZ14" s="1056"/>
      <c r="EA14" s="1056"/>
      <c r="EB14" s="1056"/>
      <c r="EC14" s="1056"/>
      <c r="ED14" s="1056"/>
      <c r="EE14" s="1056"/>
      <c r="EF14" s="1056"/>
      <c r="EG14" s="1056"/>
      <c r="EH14" s="1056"/>
      <c r="EI14" s="1056"/>
      <c r="EJ14" s="1056"/>
      <c r="EK14" s="1056"/>
      <c r="EL14" s="1056"/>
      <c r="EM14" s="1056"/>
      <c r="EN14" s="1056"/>
      <c r="EO14" s="1056"/>
      <c r="EP14" s="1056"/>
      <c r="EQ14" s="1056"/>
      <c r="ER14" s="1056"/>
      <c r="ES14" s="1056"/>
      <c r="ET14" s="1056"/>
      <c r="EU14" s="1056"/>
      <c r="EV14" s="1056"/>
      <c r="EW14" s="1056"/>
      <c r="EX14" s="1056"/>
      <c r="EY14" s="1056"/>
      <c r="EZ14" s="1056"/>
      <c r="FA14" s="1056"/>
      <c r="FB14" s="1056"/>
      <c r="FC14" s="1056"/>
      <c r="FD14" s="1056"/>
      <c r="FE14" s="1056"/>
      <c r="FF14" s="1056"/>
      <c r="FG14" s="1056"/>
      <c r="FH14" s="1056"/>
      <c r="FI14" s="1056"/>
      <c r="FJ14" s="1056"/>
      <c r="FK14" s="1056"/>
      <c r="FL14" s="1056"/>
      <c r="FM14" s="1056"/>
      <c r="FN14" s="1056"/>
      <c r="FO14" s="1056"/>
      <c r="FP14" s="1056"/>
      <c r="FQ14" s="1056"/>
      <c r="FR14" s="1056"/>
      <c r="FS14" s="1056"/>
      <c r="FT14" s="1056"/>
      <c r="FU14" s="1056"/>
      <c r="FV14" s="1056"/>
      <c r="FW14" s="1056"/>
      <c r="FX14" s="1056"/>
      <c r="FY14" s="1056"/>
      <c r="FZ14" s="1056"/>
      <c r="GA14" s="1056"/>
      <c r="GB14" s="1056"/>
      <c r="GC14" s="1056"/>
      <c r="GD14" s="1056"/>
      <c r="GE14" s="1056"/>
      <c r="GF14" s="1056"/>
      <c r="GG14" s="1056"/>
      <c r="GH14" s="1056"/>
      <c r="GI14" s="1056"/>
      <c r="GJ14" s="1056"/>
      <c r="GK14" s="1056"/>
      <c r="GL14" s="1056"/>
      <c r="GM14" s="1056"/>
      <c r="GN14" s="1056"/>
      <c r="GO14" s="1056"/>
      <c r="GP14" s="1056"/>
      <c r="GQ14" s="1056"/>
      <c r="GR14" s="1056"/>
      <c r="GS14" s="1056"/>
      <c r="GT14" s="1056"/>
      <c r="GU14" s="1056"/>
      <c r="GV14" s="1056"/>
      <c r="GW14" s="1056"/>
      <c r="GX14" s="1056"/>
      <c r="GY14" s="1056"/>
      <c r="GZ14" s="1056"/>
      <c r="HA14" s="1056"/>
      <c r="HB14" s="1056"/>
      <c r="HC14" s="1056"/>
      <c r="HD14" s="1056"/>
      <c r="HE14" s="1056"/>
      <c r="HF14" s="1056"/>
      <c r="HG14" s="1056"/>
      <c r="HH14" s="1056"/>
      <c r="HI14" s="1056"/>
      <c r="HJ14" s="1056"/>
      <c r="HK14" s="1056"/>
      <c r="HL14" s="1056"/>
      <c r="HM14" s="1056"/>
      <c r="HN14" s="1056"/>
      <c r="HO14" s="1056"/>
      <c r="HP14" s="1056"/>
      <c r="HQ14" s="1056"/>
      <c r="HR14" s="1056"/>
      <c r="HS14" s="1056"/>
      <c r="HT14" s="1056"/>
      <c r="HU14" s="1056"/>
      <c r="HV14" s="1056"/>
      <c r="HW14" s="1056"/>
      <c r="HX14" s="1056"/>
      <c r="HY14" s="1056"/>
      <c r="HZ14" s="1056"/>
      <c r="IA14" s="1056"/>
      <c r="IB14" s="1056"/>
      <c r="IC14" s="1056"/>
      <c r="ID14" s="1056"/>
      <c r="IE14" s="1056"/>
      <c r="IF14" s="1056"/>
      <c r="IG14" s="1056"/>
      <c r="IH14" s="1056"/>
      <c r="II14" s="1056"/>
      <c r="IJ14" s="1056"/>
      <c r="IK14" s="1056"/>
      <c r="IL14" s="1056"/>
      <c r="IM14" s="1056"/>
      <c r="IN14" s="1056"/>
      <c r="IO14" s="1056"/>
      <c r="IP14" s="1056"/>
      <c r="IQ14" s="1056"/>
      <c r="IR14" s="1056"/>
      <c r="IS14" s="1056"/>
      <c r="IT14" s="1056"/>
    </row>
    <row r="15" spans="1:254" ht="52.5" customHeight="1" x14ac:dyDescent="0.25">
      <c r="A15" s="1112"/>
      <c r="B15" s="1113"/>
      <c r="C15" s="1113"/>
      <c r="D15" s="1114"/>
      <c r="E15" s="1113"/>
      <c r="F15" s="1113"/>
      <c r="G15" s="1114"/>
      <c r="H15" s="1113"/>
      <c r="I15" s="1113"/>
      <c r="J15" s="2745"/>
      <c r="K15" s="2701"/>
      <c r="L15" s="2623"/>
      <c r="M15" s="2821"/>
      <c r="N15" s="2647"/>
      <c r="O15" s="2744"/>
      <c r="P15" s="2623"/>
      <c r="Q15" s="2822"/>
      <c r="R15" s="2831"/>
      <c r="S15" s="2623"/>
      <c r="T15" s="2623"/>
      <c r="U15" s="2623"/>
      <c r="V15" s="1120">
        <f>0+103531048</f>
        <v>103531048</v>
      </c>
      <c r="W15" s="1117">
        <v>88</v>
      </c>
      <c r="X15" s="1118" t="s">
        <v>358</v>
      </c>
      <c r="Y15" s="2830"/>
      <c r="Z15" s="2824"/>
      <c r="AA15" s="2824"/>
      <c r="AB15" s="2824"/>
      <c r="AC15" s="2824"/>
      <c r="AD15" s="2824"/>
      <c r="AE15" s="2824"/>
      <c r="AF15" s="2824"/>
      <c r="AG15" s="2824"/>
      <c r="AH15" s="2824"/>
      <c r="AI15" s="2824"/>
      <c r="AJ15" s="2824"/>
      <c r="AK15" s="2824"/>
      <c r="AL15" s="2824"/>
      <c r="AM15" s="2824"/>
      <c r="AN15" s="2824"/>
      <c r="AO15" s="2827"/>
      <c r="AP15" s="2827"/>
      <c r="AQ15" s="2819"/>
      <c r="AR15" s="1056"/>
      <c r="AS15" s="1056"/>
      <c r="AT15" s="1056"/>
      <c r="AU15" s="1056"/>
      <c r="AV15" s="1056"/>
      <c r="AW15" s="1056"/>
      <c r="AX15" s="1056"/>
      <c r="AY15" s="1056"/>
      <c r="AZ15" s="1056"/>
      <c r="BA15" s="1056"/>
      <c r="BB15" s="1056"/>
      <c r="BC15" s="1056"/>
      <c r="BD15" s="1056"/>
      <c r="BE15" s="1056"/>
      <c r="BF15" s="1056"/>
      <c r="BG15" s="1056"/>
      <c r="BH15" s="1056"/>
      <c r="BI15" s="1056"/>
      <c r="BJ15" s="1056"/>
      <c r="BK15" s="1056"/>
      <c r="BL15" s="1056"/>
      <c r="BM15" s="1056"/>
      <c r="BN15" s="1056"/>
      <c r="BO15" s="1056"/>
      <c r="BP15" s="1056"/>
      <c r="BQ15" s="1056"/>
      <c r="BR15" s="1056"/>
      <c r="BS15" s="1056"/>
      <c r="BT15" s="1056"/>
      <c r="BU15" s="1056"/>
      <c r="BV15" s="1056"/>
      <c r="BW15" s="1056"/>
      <c r="BX15" s="1056"/>
      <c r="BY15" s="1056"/>
      <c r="BZ15" s="1056"/>
      <c r="CA15" s="1056"/>
      <c r="CB15" s="1056"/>
      <c r="CC15" s="1056"/>
      <c r="CD15" s="1056"/>
      <c r="CE15" s="1056"/>
      <c r="CF15" s="1056"/>
      <c r="CG15" s="1056"/>
      <c r="CH15" s="1056"/>
      <c r="CI15" s="1056"/>
      <c r="CJ15" s="1056"/>
      <c r="CK15" s="1056"/>
      <c r="CL15" s="1056"/>
      <c r="CM15" s="1056"/>
      <c r="CN15" s="1056"/>
      <c r="CO15" s="1056"/>
      <c r="CP15" s="1056"/>
      <c r="CQ15" s="1056"/>
      <c r="CR15" s="1056"/>
      <c r="CS15" s="1056"/>
      <c r="CT15" s="1056"/>
      <c r="CU15" s="1056"/>
      <c r="CV15" s="1056"/>
      <c r="CW15" s="1056"/>
      <c r="CX15" s="1056"/>
      <c r="CY15" s="1056"/>
      <c r="CZ15" s="1056"/>
      <c r="DA15" s="1056"/>
      <c r="DB15" s="1056"/>
      <c r="DC15" s="1056"/>
      <c r="DD15" s="1056"/>
      <c r="DE15" s="1056"/>
      <c r="DF15" s="1056"/>
      <c r="DG15" s="1056"/>
      <c r="DH15" s="1056"/>
      <c r="DI15" s="1056"/>
      <c r="DJ15" s="1056"/>
      <c r="DK15" s="1056"/>
      <c r="DL15" s="1056"/>
      <c r="DM15" s="1056"/>
      <c r="DN15" s="1056"/>
      <c r="DO15" s="1056"/>
      <c r="DP15" s="1056"/>
      <c r="DQ15" s="1056"/>
      <c r="DR15" s="1056"/>
      <c r="DS15" s="1056"/>
      <c r="DT15" s="1056"/>
      <c r="DU15" s="1056"/>
      <c r="DV15" s="1056"/>
      <c r="DW15" s="1056"/>
      <c r="DX15" s="1056"/>
      <c r="DY15" s="1056"/>
      <c r="DZ15" s="1056"/>
      <c r="EA15" s="1056"/>
      <c r="EB15" s="1056"/>
      <c r="EC15" s="1056"/>
      <c r="ED15" s="1056"/>
      <c r="EE15" s="1056"/>
      <c r="EF15" s="1056"/>
      <c r="EG15" s="1056"/>
      <c r="EH15" s="1056"/>
      <c r="EI15" s="1056"/>
      <c r="EJ15" s="1056"/>
      <c r="EK15" s="1056"/>
      <c r="EL15" s="1056"/>
      <c r="EM15" s="1056"/>
      <c r="EN15" s="1056"/>
      <c r="EO15" s="1056"/>
      <c r="EP15" s="1056"/>
      <c r="EQ15" s="1056"/>
      <c r="ER15" s="1056"/>
      <c r="ES15" s="1056"/>
      <c r="ET15" s="1056"/>
      <c r="EU15" s="1056"/>
      <c r="EV15" s="1056"/>
      <c r="EW15" s="1056"/>
      <c r="EX15" s="1056"/>
      <c r="EY15" s="1056"/>
      <c r="EZ15" s="1056"/>
      <c r="FA15" s="1056"/>
      <c r="FB15" s="1056"/>
      <c r="FC15" s="1056"/>
      <c r="FD15" s="1056"/>
      <c r="FE15" s="1056"/>
      <c r="FF15" s="1056"/>
      <c r="FG15" s="1056"/>
      <c r="FH15" s="1056"/>
      <c r="FI15" s="1056"/>
      <c r="FJ15" s="1056"/>
      <c r="FK15" s="1056"/>
      <c r="FL15" s="1056"/>
      <c r="FM15" s="1056"/>
      <c r="FN15" s="1056"/>
      <c r="FO15" s="1056"/>
      <c r="FP15" s="1056"/>
      <c r="FQ15" s="1056"/>
      <c r="FR15" s="1056"/>
      <c r="FS15" s="1056"/>
      <c r="FT15" s="1056"/>
      <c r="FU15" s="1056"/>
      <c r="FV15" s="1056"/>
      <c r="FW15" s="1056"/>
      <c r="FX15" s="1056"/>
      <c r="FY15" s="1056"/>
      <c r="FZ15" s="1056"/>
      <c r="GA15" s="1056"/>
      <c r="GB15" s="1056"/>
      <c r="GC15" s="1056"/>
      <c r="GD15" s="1056"/>
      <c r="GE15" s="1056"/>
      <c r="GF15" s="1056"/>
      <c r="GG15" s="1056"/>
      <c r="GH15" s="1056"/>
      <c r="GI15" s="1056"/>
      <c r="GJ15" s="1056"/>
      <c r="GK15" s="1056"/>
      <c r="GL15" s="1056"/>
      <c r="GM15" s="1056"/>
      <c r="GN15" s="1056"/>
      <c r="GO15" s="1056"/>
      <c r="GP15" s="1056"/>
      <c r="GQ15" s="1056"/>
      <c r="GR15" s="1056"/>
      <c r="GS15" s="1056"/>
      <c r="GT15" s="1056"/>
      <c r="GU15" s="1056"/>
      <c r="GV15" s="1056"/>
      <c r="GW15" s="1056"/>
      <c r="GX15" s="1056"/>
      <c r="GY15" s="1056"/>
      <c r="GZ15" s="1056"/>
      <c r="HA15" s="1056"/>
      <c r="HB15" s="1056"/>
      <c r="HC15" s="1056"/>
      <c r="HD15" s="1056"/>
      <c r="HE15" s="1056"/>
      <c r="HF15" s="1056"/>
      <c r="HG15" s="1056"/>
      <c r="HH15" s="1056"/>
      <c r="HI15" s="1056"/>
      <c r="HJ15" s="1056"/>
      <c r="HK15" s="1056"/>
      <c r="HL15" s="1056"/>
      <c r="HM15" s="1056"/>
      <c r="HN15" s="1056"/>
      <c r="HO15" s="1056"/>
      <c r="HP15" s="1056"/>
      <c r="HQ15" s="1056"/>
      <c r="HR15" s="1056"/>
      <c r="HS15" s="1056"/>
      <c r="HT15" s="1056"/>
      <c r="HU15" s="1056"/>
      <c r="HV15" s="1056"/>
      <c r="HW15" s="1056"/>
      <c r="HX15" s="1056"/>
      <c r="HY15" s="1056"/>
      <c r="HZ15" s="1056"/>
      <c r="IA15" s="1056"/>
      <c r="IB15" s="1056"/>
      <c r="IC15" s="1056"/>
      <c r="ID15" s="1056"/>
      <c r="IE15" s="1056"/>
      <c r="IF15" s="1056"/>
      <c r="IG15" s="1056"/>
      <c r="IH15" s="1056"/>
      <c r="II15" s="1056"/>
      <c r="IJ15" s="1056"/>
      <c r="IK15" s="1056"/>
      <c r="IL15" s="1056"/>
      <c r="IM15" s="1056"/>
      <c r="IN15" s="1056"/>
      <c r="IO15" s="1056"/>
      <c r="IP15" s="1056"/>
      <c r="IQ15" s="1056"/>
      <c r="IR15" s="1056"/>
      <c r="IS15" s="1056"/>
      <c r="IT15" s="1056"/>
    </row>
    <row r="16" spans="1:254" ht="29.25" customHeight="1" x14ac:dyDescent="0.25">
      <c r="A16" s="1112"/>
      <c r="B16" s="1113"/>
      <c r="C16" s="1113"/>
      <c r="D16" s="1114"/>
      <c r="E16" s="1113"/>
      <c r="F16" s="1113"/>
      <c r="G16" s="1114"/>
      <c r="H16" s="1113"/>
      <c r="I16" s="1113"/>
      <c r="J16" s="2647">
        <v>277</v>
      </c>
      <c r="K16" s="2623" t="s">
        <v>999</v>
      </c>
      <c r="L16" s="2623" t="s">
        <v>1000</v>
      </c>
      <c r="M16" s="2821">
        <v>1</v>
      </c>
      <c r="N16" s="2647"/>
      <c r="O16" s="2744"/>
      <c r="P16" s="2623"/>
      <c r="Q16" s="2822">
        <f>+V16/R12</f>
        <v>0.13116845974676938</v>
      </c>
      <c r="R16" s="2831"/>
      <c r="S16" s="2623"/>
      <c r="T16" s="2623" t="s">
        <v>1001</v>
      </c>
      <c r="U16" s="2623" t="s">
        <v>1002</v>
      </c>
      <c r="V16" s="2838">
        <v>250000000</v>
      </c>
      <c r="W16" s="2839">
        <v>56</v>
      </c>
      <c r="X16" s="2647" t="s">
        <v>1003</v>
      </c>
      <c r="Y16" s="2824"/>
      <c r="Z16" s="2824"/>
      <c r="AA16" s="2824"/>
      <c r="AB16" s="2824"/>
      <c r="AC16" s="2824"/>
      <c r="AD16" s="2824"/>
      <c r="AE16" s="2824"/>
      <c r="AF16" s="2824"/>
      <c r="AG16" s="2824"/>
      <c r="AH16" s="2824"/>
      <c r="AI16" s="2824"/>
      <c r="AJ16" s="2824"/>
      <c r="AK16" s="2824"/>
      <c r="AL16" s="2824"/>
      <c r="AM16" s="2824"/>
      <c r="AN16" s="2824"/>
      <c r="AO16" s="2827"/>
      <c r="AP16" s="2827"/>
      <c r="AQ16" s="2819"/>
      <c r="AR16" s="1056"/>
      <c r="AS16" s="1056"/>
      <c r="AT16" s="1056"/>
      <c r="AU16" s="1056"/>
      <c r="AV16" s="1056"/>
      <c r="AW16" s="1056"/>
      <c r="AX16" s="1056"/>
      <c r="AY16" s="1056"/>
      <c r="AZ16" s="1056"/>
      <c r="BA16" s="1056"/>
      <c r="BB16" s="1056"/>
      <c r="BC16" s="1056"/>
      <c r="BD16" s="1056"/>
      <c r="BE16" s="1056"/>
      <c r="BF16" s="1056"/>
      <c r="BG16" s="1056"/>
      <c r="BH16" s="1056"/>
      <c r="BI16" s="1056"/>
      <c r="BJ16" s="1056"/>
      <c r="BK16" s="1056"/>
      <c r="BL16" s="1056"/>
      <c r="BM16" s="1056"/>
      <c r="BN16" s="1056"/>
      <c r="BO16" s="1056"/>
      <c r="BP16" s="1056"/>
      <c r="BQ16" s="1056"/>
      <c r="BR16" s="1056"/>
      <c r="BS16" s="1056"/>
      <c r="BT16" s="1056"/>
      <c r="BU16" s="1056"/>
      <c r="BV16" s="1056"/>
      <c r="BW16" s="1056"/>
      <c r="BX16" s="1056"/>
      <c r="BY16" s="1056"/>
      <c r="BZ16" s="1056"/>
      <c r="CA16" s="1056"/>
      <c r="CB16" s="1056"/>
      <c r="CC16" s="1056"/>
      <c r="CD16" s="1056"/>
      <c r="CE16" s="1056"/>
      <c r="CF16" s="1056"/>
      <c r="CG16" s="1056"/>
      <c r="CH16" s="1056"/>
      <c r="CI16" s="1056"/>
      <c r="CJ16" s="1056"/>
      <c r="CK16" s="1056"/>
      <c r="CL16" s="1056"/>
      <c r="CM16" s="1056"/>
      <c r="CN16" s="1056"/>
      <c r="CO16" s="1056"/>
      <c r="CP16" s="1056"/>
      <c r="CQ16" s="1056"/>
      <c r="CR16" s="1056"/>
      <c r="CS16" s="1056"/>
      <c r="CT16" s="1056"/>
      <c r="CU16" s="1056"/>
      <c r="CV16" s="1056"/>
      <c r="CW16" s="1056"/>
      <c r="CX16" s="1056"/>
      <c r="CY16" s="1056"/>
      <c r="CZ16" s="1056"/>
      <c r="DA16" s="1056"/>
      <c r="DB16" s="1056"/>
      <c r="DC16" s="1056"/>
      <c r="DD16" s="1056"/>
      <c r="DE16" s="1056"/>
      <c r="DF16" s="1056"/>
      <c r="DG16" s="1056"/>
      <c r="DH16" s="1056"/>
      <c r="DI16" s="1056"/>
      <c r="DJ16" s="1056"/>
      <c r="DK16" s="1056"/>
      <c r="DL16" s="1056"/>
      <c r="DM16" s="1056"/>
      <c r="DN16" s="1056"/>
      <c r="DO16" s="1056"/>
      <c r="DP16" s="1056"/>
      <c r="DQ16" s="1056"/>
      <c r="DR16" s="1056"/>
      <c r="DS16" s="1056"/>
      <c r="DT16" s="1056"/>
      <c r="DU16" s="1056"/>
      <c r="DV16" s="1056"/>
      <c r="DW16" s="1056"/>
      <c r="DX16" s="1056"/>
      <c r="DY16" s="1056"/>
      <c r="DZ16" s="1056"/>
      <c r="EA16" s="1056"/>
      <c r="EB16" s="1056"/>
      <c r="EC16" s="1056"/>
      <c r="ED16" s="1056"/>
      <c r="EE16" s="1056"/>
      <c r="EF16" s="1056"/>
      <c r="EG16" s="1056"/>
      <c r="EH16" s="1056"/>
      <c r="EI16" s="1056"/>
      <c r="EJ16" s="1056"/>
      <c r="EK16" s="1056"/>
      <c r="EL16" s="1056"/>
      <c r="EM16" s="1056"/>
      <c r="EN16" s="1056"/>
      <c r="EO16" s="1056"/>
      <c r="EP16" s="1056"/>
      <c r="EQ16" s="1056"/>
      <c r="ER16" s="1056"/>
      <c r="ES16" s="1056"/>
      <c r="ET16" s="1056"/>
      <c r="EU16" s="1056"/>
      <c r="EV16" s="1056"/>
      <c r="EW16" s="1056"/>
      <c r="EX16" s="1056"/>
      <c r="EY16" s="1056"/>
      <c r="EZ16" s="1056"/>
      <c r="FA16" s="1056"/>
      <c r="FB16" s="1056"/>
      <c r="FC16" s="1056"/>
      <c r="FD16" s="1056"/>
      <c r="FE16" s="1056"/>
      <c r="FF16" s="1056"/>
      <c r="FG16" s="1056"/>
      <c r="FH16" s="1056"/>
      <c r="FI16" s="1056"/>
      <c r="FJ16" s="1056"/>
      <c r="FK16" s="1056"/>
      <c r="FL16" s="1056"/>
      <c r="FM16" s="1056"/>
      <c r="FN16" s="1056"/>
      <c r="FO16" s="1056"/>
      <c r="FP16" s="1056"/>
      <c r="FQ16" s="1056"/>
      <c r="FR16" s="1056"/>
      <c r="FS16" s="1056"/>
      <c r="FT16" s="1056"/>
      <c r="FU16" s="1056"/>
      <c r="FV16" s="1056"/>
      <c r="FW16" s="1056"/>
      <c r="FX16" s="1056"/>
      <c r="FY16" s="1056"/>
      <c r="FZ16" s="1056"/>
      <c r="GA16" s="1056"/>
      <c r="GB16" s="1056"/>
      <c r="GC16" s="1056"/>
      <c r="GD16" s="1056"/>
      <c r="GE16" s="1056"/>
      <c r="GF16" s="1056"/>
      <c r="GG16" s="1056"/>
      <c r="GH16" s="1056"/>
      <c r="GI16" s="1056"/>
      <c r="GJ16" s="1056"/>
      <c r="GK16" s="1056"/>
      <c r="GL16" s="1056"/>
      <c r="GM16" s="1056"/>
      <c r="GN16" s="1056"/>
      <c r="GO16" s="1056"/>
      <c r="GP16" s="1056"/>
      <c r="GQ16" s="1056"/>
      <c r="GR16" s="1056"/>
      <c r="GS16" s="1056"/>
      <c r="GT16" s="1056"/>
      <c r="GU16" s="1056"/>
      <c r="GV16" s="1056"/>
      <c r="GW16" s="1056"/>
      <c r="GX16" s="1056"/>
      <c r="GY16" s="1056"/>
      <c r="GZ16" s="1056"/>
      <c r="HA16" s="1056"/>
      <c r="HB16" s="1056"/>
      <c r="HC16" s="1056"/>
      <c r="HD16" s="1056"/>
      <c r="HE16" s="1056"/>
      <c r="HF16" s="1056"/>
      <c r="HG16" s="1056"/>
      <c r="HH16" s="1056"/>
      <c r="HI16" s="1056"/>
      <c r="HJ16" s="1056"/>
      <c r="HK16" s="1056"/>
      <c r="HL16" s="1056"/>
      <c r="HM16" s="1056"/>
      <c r="HN16" s="1056"/>
      <c r="HO16" s="1056"/>
      <c r="HP16" s="1056"/>
      <c r="HQ16" s="1056"/>
      <c r="HR16" s="1056"/>
      <c r="HS16" s="1056"/>
      <c r="HT16" s="1056"/>
      <c r="HU16" s="1056"/>
      <c r="HV16" s="1056"/>
      <c r="HW16" s="1056"/>
      <c r="HX16" s="1056"/>
      <c r="HY16" s="1056"/>
      <c r="HZ16" s="1056"/>
      <c r="IA16" s="1056"/>
      <c r="IB16" s="1056"/>
      <c r="IC16" s="1056"/>
      <c r="ID16" s="1056"/>
      <c r="IE16" s="1056"/>
      <c r="IF16" s="1056"/>
      <c r="IG16" s="1056"/>
      <c r="IH16" s="1056"/>
      <c r="II16" s="1056"/>
      <c r="IJ16" s="1056"/>
      <c r="IK16" s="1056"/>
      <c r="IL16" s="1056"/>
      <c r="IM16" s="1056"/>
      <c r="IN16" s="1056"/>
      <c r="IO16" s="1056"/>
      <c r="IP16" s="1056"/>
      <c r="IQ16" s="1056"/>
      <c r="IR16" s="1056"/>
      <c r="IS16" s="1056"/>
      <c r="IT16" s="1056"/>
    </row>
    <row r="17" spans="1:254" ht="23.25" customHeight="1" x14ac:dyDescent="0.25">
      <c r="A17" s="1112"/>
      <c r="B17" s="1113"/>
      <c r="C17" s="1113"/>
      <c r="D17" s="1114"/>
      <c r="E17" s="1113"/>
      <c r="F17" s="1113"/>
      <c r="G17" s="1114"/>
      <c r="H17" s="1113"/>
      <c r="I17" s="1113"/>
      <c r="J17" s="2647"/>
      <c r="K17" s="2623"/>
      <c r="L17" s="2623"/>
      <c r="M17" s="2821"/>
      <c r="N17" s="2647"/>
      <c r="O17" s="2744"/>
      <c r="P17" s="2623"/>
      <c r="Q17" s="2822"/>
      <c r="R17" s="2831"/>
      <c r="S17" s="2623"/>
      <c r="T17" s="2623"/>
      <c r="U17" s="2623"/>
      <c r="V17" s="2838"/>
      <c r="W17" s="2839"/>
      <c r="X17" s="2647"/>
      <c r="Y17" s="2824"/>
      <c r="Z17" s="2824"/>
      <c r="AA17" s="2824"/>
      <c r="AB17" s="2824"/>
      <c r="AC17" s="2824"/>
      <c r="AD17" s="2824"/>
      <c r="AE17" s="2824"/>
      <c r="AF17" s="2824"/>
      <c r="AG17" s="2824"/>
      <c r="AH17" s="2824"/>
      <c r="AI17" s="2824"/>
      <c r="AJ17" s="2824"/>
      <c r="AK17" s="2824"/>
      <c r="AL17" s="2824"/>
      <c r="AM17" s="2824"/>
      <c r="AN17" s="2824"/>
      <c r="AO17" s="2827"/>
      <c r="AP17" s="2827"/>
      <c r="AQ17" s="2819"/>
      <c r="AR17" s="1056"/>
      <c r="AS17" s="1056"/>
      <c r="AT17" s="1056"/>
      <c r="AU17" s="1056"/>
      <c r="AV17" s="1056"/>
      <c r="AW17" s="1056"/>
      <c r="AX17" s="1056"/>
      <c r="AY17" s="1056"/>
      <c r="AZ17" s="1056"/>
      <c r="BA17" s="1056"/>
      <c r="BB17" s="1056"/>
      <c r="BC17" s="1056"/>
      <c r="BD17" s="1056"/>
      <c r="BE17" s="1056"/>
      <c r="BF17" s="1056"/>
      <c r="BG17" s="1056"/>
      <c r="BH17" s="1056"/>
      <c r="BI17" s="1056"/>
      <c r="BJ17" s="1056"/>
      <c r="BK17" s="1056"/>
      <c r="BL17" s="1056"/>
      <c r="BM17" s="1056"/>
      <c r="BN17" s="1056"/>
      <c r="BO17" s="1056"/>
      <c r="BP17" s="1056"/>
      <c r="BQ17" s="1056"/>
      <c r="BR17" s="1056"/>
      <c r="BS17" s="1056"/>
      <c r="BT17" s="1056"/>
      <c r="BU17" s="1056"/>
      <c r="BV17" s="1056"/>
      <c r="BW17" s="1056"/>
      <c r="BX17" s="1056"/>
      <c r="BY17" s="1056"/>
      <c r="BZ17" s="1056"/>
      <c r="CA17" s="1056"/>
      <c r="CB17" s="1056"/>
      <c r="CC17" s="1056"/>
      <c r="CD17" s="1056"/>
      <c r="CE17" s="1056"/>
      <c r="CF17" s="1056"/>
      <c r="CG17" s="1056"/>
      <c r="CH17" s="1056"/>
      <c r="CI17" s="1056"/>
      <c r="CJ17" s="1056"/>
      <c r="CK17" s="1056"/>
      <c r="CL17" s="1056"/>
      <c r="CM17" s="1056"/>
      <c r="CN17" s="1056"/>
      <c r="CO17" s="1056"/>
      <c r="CP17" s="1056"/>
      <c r="CQ17" s="1056"/>
      <c r="CR17" s="1056"/>
      <c r="CS17" s="1056"/>
      <c r="CT17" s="1056"/>
      <c r="CU17" s="1056"/>
      <c r="CV17" s="1056"/>
      <c r="CW17" s="1056"/>
      <c r="CX17" s="1056"/>
      <c r="CY17" s="1056"/>
      <c r="CZ17" s="1056"/>
      <c r="DA17" s="1056"/>
      <c r="DB17" s="1056"/>
      <c r="DC17" s="1056"/>
      <c r="DD17" s="1056"/>
      <c r="DE17" s="1056"/>
      <c r="DF17" s="1056"/>
      <c r="DG17" s="1056"/>
      <c r="DH17" s="1056"/>
      <c r="DI17" s="1056"/>
      <c r="DJ17" s="1056"/>
      <c r="DK17" s="1056"/>
      <c r="DL17" s="1056"/>
      <c r="DM17" s="1056"/>
      <c r="DN17" s="1056"/>
      <c r="DO17" s="1056"/>
      <c r="DP17" s="1056"/>
      <c r="DQ17" s="1056"/>
      <c r="DR17" s="1056"/>
      <c r="DS17" s="1056"/>
      <c r="DT17" s="1056"/>
      <c r="DU17" s="1056"/>
      <c r="DV17" s="1056"/>
      <c r="DW17" s="1056"/>
      <c r="DX17" s="1056"/>
      <c r="DY17" s="1056"/>
      <c r="DZ17" s="1056"/>
      <c r="EA17" s="1056"/>
      <c r="EB17" s="1056"/>
      <c r="EC17" s="1056"/>
      <c r="ED17" s="1056"/>
      <c r="EE17" s="1056"/>
      <c r="EF17" s="1056"/>
      <c r="EG17" s="1056"/>
      <c r="EH17" s="1056"/>
      <c r="EI17" s="1056"/>
      <c r="EJ17" s="1056"/>
      <c r="EK17" s="1056"/>
      <c r="EL17" s="1056"/>
      <c r="EM17" s="1056"/>
      <c r="EN17" s="1056"/>
      <c r="EO17" s="1056"/>
      <c r="EP17" s="1056"/>
      <c r="EQ17" s="1056"/>
      <c r="ER17" s="1056"/>
      <c r="ES17" s="1056"/>
      <c r="ET17" s="1056"/>
      <c r="EU17" s="1056"/>
      <c r="EV17" s="1056"/>
      <c r="EW17" s="1056"/>
      <c r="EX17" s="1056"/>
      <c r="EY17" s="1056"/>
      <c r="EZ17" s="1056"/>
      <c r="FA17" s="1056"/>
      <c r="FB17" s="1056"/>
      <c r="FC17" s="1056"/>
      <c r="FD17" s="1056"/>
      <c r="FE17" s="1056"/>
      <c r="FF17" s="1056"/>
      <c r="FG17" s="1056"/>
      <c r="FH17" s="1056"/>
      <c r="FI17" s="1056"/>
      <c r="FJ17" s="1056"/>
      <c r="FK17" s="1056"/>
      <c r="FL17" s="1056"/>
      <c r="FM17" s="1056"/>
      <c r="FN17" s="1056"/>
      <c r="FO17" s="1056"/>
      <c r="FP17" s="1056"/>
      <c r="FQ17" s="1056"/>
      <c r="FR17" s="1056"/>
      <c r="FS17" s="1056"/>
      <c r="FT17" s="1056"/>
      <c r="FU17" s="1056"/>
      <c r="FV17" s="1056"/>
      <c r="FW17" s="1056"/>
      <c r="FX17" s="1056"/>
      <c r="FY17" s="1056"/>
      <c r="FZ17" s="1056"/>
      <c r="GA17" s="1056"/>
      <c r="GB17" s="1056"/>
      <c r="GC17" s="1056"/>
      <c r="GD17" s="1056"/>
      <c r="GE17" s="1056"/>
      <c r="GF17" s="1056"/>
      <c r="GG17" s="1056"/>
      <c r="GH17" s="1056"/>
      <c r="GI17" s="1056"/>
      <c r="GJ17" s="1056"/>
      <c r="GK17" s="1056"/>
      <c r="GL17" s="1056"/>
      <c r="GM17" s="1056"/>
      <c r="GN17" s="1056"/>
      <c r="GO17" s="1056"/>
      <c r="GP17" s="1056"/>
      <c r="GQ17" s="1056"/>
      <c r="GR17" s="1056"/>
      <c r="GS17" s="1056"/>
      <c r="GT17" s="1056"/>
      <c r="GU17" s="1056"/>
      <c r="GV17" s="1056"/>
      <c r="GW17" s="1056"/>
      <c r="GX17" s="1056"/>
      <c r="GY17" s="1056"/>
      <c r="GZ17" s="1056"/>
      <c r="HA17" s="1056"/>
      <c r="HB17" s="1056"/>
      <c r="HC17" s="1056"/>
      <c r="HD17" s="1056"/>
      <c r="HE17" s="1056"/>
      <c r="HF17" s="1056"/>
      <c r="HG17" s="1056"/>
      <c r="HH17" s="1056"/>
      <c r="HI17" s="1056"/>
      <c r="HJ17" s="1056"/>
      <c r="HK17" s="1056"/>
      <c r="HL17" s="1056"/>
      <c r="HM17" s="1056"/>
      <c r="HN17" s="1056"/>
      <c r="HO17" s="1056"/>
      <c r="HP17" s="1056"/>
      <c r="HQ17" s="1056"/>
      <c r="HR17" s="1056"/>
      <c r="HS17" s="1056"/>
      <c r="HT17" s="1056"/>
      <c r="HU17" s="1056"/>
      <c r="HV17" s="1056"/>
      <c r="HW17" s="1056"/>
      <c r="HX17" s="1056"/>
      <c r="HY17" s="1056"/>
      <c r="HZ17" s="1056"/>
      <c r="IA17" s="1056"/>
      <c r="IB17" s="1056"/>
      <c r="IC17" s="1056"/>
      <c r="ID17" s="1056"/>
      <c r="IE17" s="1056"/>
      <c r="IF17" s="1056"/>
      <c r="IG17" s="1056"/>
      <c r="IH17" s="1056"/>
      <c r="II17" s="1056"/>
      <c r="IJ17" s="1056"/>
      <c r="IK17" s="1056"/>
      <c r="IL17" s="1056"/>
      <c r="IM17" s="1056"/>
      <c r="IN17" s="1056"/>
      <c r="IO17" s="1056"/>
      <c r="IP17" s="1056"/>
      <c r="IQ17" s="1056"/>
      <c r="IR17" s="1056"/>
      <c r="IS17" s="1056"/>
      <c r="IT17" s="1056"/>
    </row>
    <row r="18" spans="1:254" ht="25.5" customHeight="1" x14ac:dyDescent="0.25">
      <c r="A18" s="1112"/>
      <c r="B18" s="1113"/>
      <c r="C18" s="1113"/>
      <c r="D18" s="1114"/>
      <c r="E18" s="1113"/>
      <c r="F18" s="1113"/>
      <c r="G18" s="1114"/>
      <c r="H18" s="1113"/>
      <c r="I18" s="1113"/>
      <c r="J18" s="2647"/>
      <c r="K18" s="2623"/>
      <c r="L18" s="2623"/>
      <c r="M18" s="2821"/>
      <c r="N18" s="2745"/>
      <c r="O18" s="2744"/>
      <c r="P18" s="2623"/>
      <c r="Q18" s="2822"/>
      <c r="R18" s="2831"/>
      <c r="S18" s="2623"/>
      <c r="T18" s="2623"/>
      <c r="U18" s="2623"/>
      <c r="V18" s="2838"/>
      <c r="W18" s="2839"/>
      <c r="X18" s="2647"/>
      <c r="Y18" s="2825"/>
      <c r="Z18" s="2825"/>
      <c r="AA18" s="2825"/>
      <c r="AB18" s="2825"/>
      <c r="AC18" s="2825"/>
      <c r="AD18" s="2825"/>
      <c r="AE18" s="2825"/>
      <c r="AF18" s="2825"/>
      <c r="AG18" s="2825"/>
      <c r="AH18" s="2825"/>
      <c r="AI18" s="2825"/>
      <c r="AJ18" s="2825"/>
      <c r="AK18" s="2825"/>
      <c r="AL18" s="2825"/>
      <c r="AM18" s="2825"/>
      <c r="AN18" s="2825"/>
      <c r="AO18" s="2828"/>
      <c r="AP18" s="2828"/>
      <c r="AQ18" s="2819"/>
      <c r="AR18" s="1056"/>
      <c r="AS18" s="1056"/>
      <c r="AT18" s="1056"/>
      <c r="AU18" s="1056"/>
      <c r="AV18" s="1056"/>
      <c r="AW18" s="1056"/>
      <c r="AX18" s="1056"/>
      <c r="AY18" s="1056"/>
      <c r="AZ18" s="1056"/>
      <c r="BA18" s="1056"/>
      <c r="BB18" s="1056"/>
      <c r="BC18" s="1056"/>
      <c r="BD18" s="1056"/>
      <c r="BE18" s="1056"/>
      <c r="BF18" s="1056"/>
      <c r="BG18" s="1056"/>
      <c r="BH18" s="1056"/>
      <c r="BI18" s="1056"/>
      <c r="BJ18" s="1056"/>
      <c r="BK18" s="1056"/>
      <c r="BL18" s="1056"/>
      <c r="BM18" s="1056"/>
      <c r="BN18" s="1056"/>
      <c r="BO18" s="1056"/>
      <c r="BP18" s="1056"/>
      <c r="BQ18" s="1056"/>
      <c r="BR18" s="1056"/>
      <c r="BS18" s="1056"/>
      <c r="BT18" s="1056"/>
      <c r="BU18" s="1056"/>
      <c r="BV18" s="1056"/>
      <c r="BW18" s="1056"/>
      <c r="BX18" s="1056"/>
      <c r="BY18" s="1056"/>
      <c r="BZ18" s="1056"/>
      <c r="CA18" s="1056"/>
      <c r="CB18" s="1056"/>
      <c r="CC18" s="1056"/>
      <c r="CD18" s="1056"/>
      <c r="CE18" s="1056"/>
      <c r="CF18" s="1056"/>
      <c r="CG18" s="1056"/>
      <c r="CH18" s="1056"/>
      <c r="CI18" s="1056"/>
      <c r="CJ18" s="1056"/>
      <c r="CK18" s="1056"/>
      <c r="CL18" s="1056"/>
      <c r="CM18" s="1056"/>
      <c r="CN18" s="1056"/>
      <c r="CO18" s="1056"/>
      <c r="CP18" s="1056"/>
      <c r="CQ18" s="1056"/>
      <c r="CR18" s="1056"/>
      <c r="CS18" s="1056"/>
      <c r="CT18" s="1056"/>
      <c r="CU18" s="1056"/>
      <c r="CV18" s="1056"/>
      <c r="CW18" s="1056"/>
      <c r="CX18" s="1056"/>
      <c r="CY18" s="1056"/>
      <c r="CZ18" s="1056"/>
      <c r="DA18" s="1056"/>
      <c r="DB18" s="1056"/>
      <c r="DC18" s="1056"/>
      <c r="DD18" s="1056"/>
      <c r="DE18" s="1056"/>
      <c r="DF18" s="1056"/>
      <c r="DG18" s="1056"/>
      <c r="DH18" s="1056"/>
      <c r="DI18" s="1056"/>
      <c r="DJ18" s="1056"/>
      <c r="DK18" s="1056"/>
      <c r="DL18" s="1056"/>
      <c r="DM18" s="1056"/>
      <c r="DN18" s="1056"/>
      <c r="DO18" s="1056"/>
      <c r="DP18" s="1056"/>
      <c r="DQ18" s="1056"/>
      <c r="DR18" s="1056"/>
      <c r="DS18" s="1056"/>
      <c r="DT18" s="1056"/>
      <c r="DU18" s="1056"/>
      <c r="DV18" s="1056"/>
      <c r="DW18" s="1056"/>
      <c r="DX18" s="1056"/>
      <c r="DY18" s="1056"/>
      <c r="DZ18" s="1056"/>
      <c r="EA18" s="1056"/>
      <c r="EB18" s="1056"/>
      <c r="EC18" s="1056"/>
      <c r="ED18" s="1056"/>
      <c r="EE18" s="1056"/>
      <c r="EF18" s="1056"/>
      <c r="EG18" s="1056"/>
      <c r="EH18" s="1056"/>
      <c r="EI18" s="1056"/>
      <c r="EJ18" s="1056"/>
      <c r="EK18" s="1056"/>
      <c r="EL18" s="1056"/>
      <c r="EM18" s="1056"/>
      <c r="EN18" s="1056"/>
      <c r="EO18" s="1056"/>
      <c r="EP18" s="1056"/>
      <c r="EQ18" s="1056"/>
      <c r="ER18" s="1056"/>
      <c r="ES18" s="1056"/>
      <c r="ET18" s="1056"/>
      <c r="EU18" s="1056"/>
      <c r="EV18" s="1056"/>
      <c r="EW18" s="1056"/>
      <c r="EX18" s="1056"/>
      <c r="EY18" s="1056"/>
      <c r="EZ18" s="1056"/>
      <c r="FA18" s="1056"/>
      <c r="FB18" s="1056"/>
      <c r="FC18" s="1056"/>
      <c r="FD18" s="1056"/>
      <c r="FE18" s="1056"/>
      <c r="FF18" s="1056"/>
      <c r="FG18" s="1056"/>
      <c r="FH18" s="1056"/>
      <c r="FI18" s="1056"/>
      <c r="FJ18" s="1056"/>
      <c r="FK18" s="1056"/>
      <c r="FL18" s="1056"/>
      <c r="FM18" s="1056"/>
      <c r="FN18" s="1056"/>
      <c r="FO18" s="1056"/>
      <c r="FP18" s="1056"/>
      <c r="FQ18" s="1056"/>
      <c r="FR18" s="1056"/>
      <c r="FS18" s="1056"/>
      <c r="FT18" s="1056"/>
      <c r="FU18" s="1056"/>
      <c r="FV18" s="1056"/>
      <c r="FW18" s="1056"/>
      <c r="FX18" s="1056"/>
      <c r="FY18" s="1056"/>
      <c r="FZ18" s="1056"/>
      <c r="GA18" s="1056"/>
      <c r="GB18" s="1056"/>
      <c r="GC18" s="1056"/>
      <c r="GD18" s="1056"/>
      <c r="GE18" s="1056"/>
      <c r="GF18" s="1056"/>
      <c r="GG18" s="1056"/>
      <c r="GH18" s="1056"/>
      <c r="GI18" s="1056"/>
      <c r="GJ18" s="1056"/>
      <c r="GK18" s="1056"/>
      <c r="GL18" s="1056"/>
      <c r="GM18" s="1056"/>
      <c r="GN18" s="1056"/>
      <c r="GO18" s="1056"/>
      <c r="GP18" s="1056"/>
      <c r="GQ18" s="1056"/>
      <c r="GR18" s="1056"/>
      <c r="GS18" s="1056"/>
      <c r="GT18" s="1056"/>
      <c r="GU18" s="1056"/>
      <c r="GV18" s="1056"/>
      <c r="GW18" s="1056"/>
      <c r="GX18" s="1056"/>
      <c r="GY18" s="1056"/>
      <c r="GZ18" s="1056"/>
      <c r="HA18" s="1056"/>
      <c r="HB18" s="1056"/>
      <c r="HC18" s="1056"/>
      <c r="HD18" s="1056"/>
      <c r="HE18" s="1056"/>
      <c r="HF18" s="1056"/>
      <c r="HG18" s="1056"/>
      <c r="HH18" s="1056"/>
      <c r="HI18" s="1056"/>
      <c r="HJ18" s="1056"/>
      <c r="HK18" s="1056"/>
      <c r="HL18" s="1056"/>
      <c r="HM18" s="1056"/>
      <c r="HN18" s="1056"/>
      <c r="HO18" s="1056"/>
      <c r="HP18" s="1056"/>
      <c r="HQ18" s="1056"/>
      <c r="HR18" s="1056"/>
      <c r="HS18" s="1056"/>
      <c r="HT18" s="1056"/>
      <c r="HU18" s="1056"/>
      <c r="HV18" s="1056"/>
      <c r="HW18" s="1056"/>
      <c r="HX18" s="1056"/>
      <c r="HY18" s="1056"/>
      <c r="HZ18" s="1056"/>
      <c r="IA18" s="1056"/>
      <c r="IB18" s="1056"/>
      <c r="IC18" s="1056"/>
      <c r="ID18" s="1056"/>
      <c r="IE18" s="1056"/>
      <c r="IF18" s="1056"/>
      <c r="IG18" s="1056"/>
      <c r="IH18" s="1056"/>
      <c r="II18" s="1056"/>
      <c r="IJ18" s="1056"/>
      <c r="IK18" s="1056"/>
      <c r="IL18" s="1056"/>
      <c r="IM18" s="1056"/>
      <c r="IN18" s="1056"/>
      <c r="IO18" s="1056"/>
      <c r="IP18" s="1056"/>
      <c r="IQ18" s="1056"/>
      <c r="IR18" s="1056"/>
      <c r="IS18" s="1056"/>
      <c r="IT18" s="1056"/>
    </row>
    <row r="19" spans="1:254" ht="108.75" customHeight="1" x14ac:dyDescent="0.25">
      <c r="A19" s="1112"/>
      <c r="B19" s="2820"/>
      <c r="C19" s="2820"/>
      <c r="D19" s="1114"/>
      <c r="E19" s="2820"/>
      <c r="F19" s="2820"/>
      <c r="G19" s="1114"/>
      <c r="H19" s="2820"/>
      <c r="I19" s="2820"/>
      <c r="J19" s="1121">
        <v>278</v>
      </c>
      <c r="K19" s="1122" t="s">
        <v>1004</v>
      </c>
      <c r="L19" s="1122" t="s">
        <v>1005</v>
      </c>
      <c r="M19" s="1123">
        <v>1</v>
      </c>
      <c r="N19" s="2646" t="s">
        <v>1006</v>
      </c>
      <c r="O19" s="2744" t="s">
        <v>1007</v>
      </c>
      <c r="P19" s="2623" t="s">
        <v>1008</v>
      </c>
      <c r="Q19" s="1124">
        <f>+V19/R19</f>
        <v>2.259748877542057E-2</v>
      </c>
      <c r="R19" s="2831">
        <f>SUM(V19:V21)</f>
        <v>442527048</v>
      </c>
      <c r="S19" s="2623" t="s">
        <v>1009</v>
      </c>
      <c r="T19" s="1125" t="s">
        <v>1010</v>
      </c>
      <c r="U19" s="1125" t="s">
        <v>1011</v>
      </c>
      <c r="V19" s="1119">
        <v>10000000</v>
      </c>
      <c r="W19" s="1117">
        <v>20</v>
      </c>
      <c r="X19" s="1118" t="s">
        <v>360</v>
      </c>
      <c r="Y19" s="2836">
        <v>294321</v>
      </c>
      <c r="Z19" s="2834">
        <v>283947</v>
      </c>
      <c r="AA19" s="2834">
        <v>135754</v>
      </c>
      <c r="AB19" s="2834">
        <v>44640</v>
      </c>
      <c r="AC19" s="2834">
        <v>308178</v>
      </c>
      <c r="AD19" s="2834">
        <v>89696</v>
      </c>
      <c r="AE19" s="2834">
        <v>2145</v>
      </c>
      <c r="AF19" s="2834">
        <v>12718</v>
      </c>
      <c r="AG19" s="2834">
        <v>26</v>
      </c>
      <c r="AH19" s="2834">
        <v>37</v>
      </c>
      <c r="AI19" s="2834">
        <v>0</v>
      </c>
      <c r="AJ19" s="2834">
        <v>0</v>
      </c>
      <c r="AK19" s="2834">
        <v>54612</v>
      </c>
      <c r="AL19" s="2834">
        <v>21944</v>
      </c>
      <c r="AM19" s="2834">
        <v>1010</v>
      </c>
      <c r="AN19" s="2834">
        <f>+Y19+Z19</f>
        <v>578268</v>
      </c>
      <c r="AO19" s="2845">
        <v>43473</v>
      </c>
      <c r="AP19" s="2845">
        <v>43830</v>
      </c>
      <c r="AQ19" s="2819" t="s">
        <v>1012</v>
      </c>
      <c r="AR19" s="1056"/>
      <c r="AS19" s="1056"/>
      <c r="AT19" s="1056"/>
      <c r="AU19" s="1056"/>
      <c r="AV19" s="1056"/>
      <c r="AW19" s="1056"/>
      <c r="AX19" s="1056"/>
      <c r="AY19" s="1056"/>
      <c r="AZ19" s="1056"/>
      <c r="BA19" s="1056"/>
      <c r="BB19" s="1056"/>
      <c r="BC19" s="1056"/>
      <c r="BD19" s="1056"/>
      <c r="BE19" s="1056"/>
      <c r="BF19" s="1056"/>
      <c r="BG19" s="1056"/>
      <c r="BH19" s="1056"/>
      <c r="BI19" s="1056"/>
      <c r="BJ19" s="1056"/>
      <c r="BK19" s="1056"/>
      <c r="BL19" s="1056"/>
      <c r="BM19" s="1056"/>
      <c r="BN19" s="1056"/>
      <c r="BO19" s="1056"/>
      <c r="BP19" s="1056"/>
      <c r="BQ19" s="1056"/>
      <c r="BR19" s="1056"/>
      <c r="BS19" s="1056"/>
      <c r="BT19" s="1056"/>
      <c r="BU19" s="1056"/>
      <c r="BV19" s="1056"/>
      <c r="BW19" s="1056"/>
      <c r="BX19" s="1056"/>
      <c r="BY19" s="1056"/>
      <c r="BZ19" s="1056"/>
      <c r="CA19" s="1056"/>
      <c r="CB19" s="1056"/>
      <c r="CC19" s="1056"/>
      <c r="CD19" s="1056"/>
      <c r="CE19" s="1056"/>
      <c r="CF19" s="1056"/>
      <c r="CG19" s="1056"/>
      <c r="CH19" s="1056"/>
      <c r="CI19" s="1056"/>
      <c r="CJ19" s="1056"/>
      <c r="CK19" s="1056"/>
      <c r="CL19" s="1056"/>
      <c r="CM19" s="1056"/>
      <c r="CN19" s="1056"/>
      <c r="CO19" s="1056"/>
      <c r="CP19" s="1056"/>
      <c r="CQ19" s="1056"/>
      <c r="CR19" s="1056"/>
      <c r="CS19" s="1056"/>
      <c r="CT19" s="1056"/>
      <c r="CU19" s="1056"/>
      <c r="CV19" s="1056"/>
      <c r="CW19" s="1056"/>
      <c r="CX19" s="1056"/>
      <c r="CY19" s="1056"/>
      <c r="CZ19" s="1056"/>
      <c r="DA19" s="1056"/>
      <c r="DB19" s="1056"/>
      <c r="DC19" s="1056"/>
      <c r="DD19" s="1056"/>
      <c r="DE19" s="1056"/>
      <c r="DF19" s="1056"/>
      <c r="DG19" s="1056"/>
      <c r="DH19" s="1056"/>
      <c r="DI19" s="1056"/>
      <c r="DJ19" s="1056"/>
      <c r="DK19" s="1056"/>
      <c r="DL19" s="1056"/>
      <c r="DM19" s="1056"/>
      <c r="DN19" s="1056"/>
      <c r="DO19" s="1056"/>
      <c r="DP19" s="1056"/>
      <c r="DQ19" s="1056"/>
      <c r="DR19" s="1056"/>
      <c r="DS19" s="1056"/>
      <c r="DT19" s="1056"/>
      <c r="DU19" s="1056"/>
      <c r="DV19" s="1056"/>
      <c r="DW19" s="1056"/>
      <c r="DX19" s="1056"/>
      <c r="DY19" s="1056"/>
      <c r="DZ19" s="1056"/>
      <c r="EA19" s="1056"/>
      <c r="EB19" s="1056"/>
      <c r="EC19" s="1056"/>
      <c r="ED19" s="1056"/>
      <c r="EE19" s="1056"/>
      <c r="EF19" s="1056"/>
      <c r="EG19" s="1056"/>
      <c r="EH19" s="1056"/>
      <c r="EI19" s="1056"/>
      <c r="EJ19" s="1056"/>
      <c r="EK19" s="1056"/>
      <c r="EL19" s="1056"/>
      <c r="EM19" s="1056"/>
      <c r="EN19" s="1056"/>
      <c r="EO19" s="1056"/>
      <c r="EP19" s="1056"/>
      <c r="EQ19" s="1056"/>
      <c r="ER19" s="1056"/>
      <c r="ES19" s="1056"/>
      <c r="ET19" s="1056"/>
      <c r="EU19" s="1056"/>
      <c r="EV19" s="1056"/>
      <c r="EW19" s="1056"/>
      <c r="EX19" s="1056"/>
      <c r="EY19" s="1056"/>
      <c r="EZ19" s="1056"/>
      <c r="FA19" s="1056"/>
      <c r="FB19" s="1056"/>
      <c r="FC19" s="1056"/>
      <c r="FD19" s="1056"/>
      <c r="FE19" s="1056"/>
      <c r="FF19" s="1056"/>
      <c r="FG19" s="1056"/>
      <c r="FH19" s="1056"/>
      <c r="FI19" s="1056"/>
      <c r="FJ19" s="1056"/>
      <c r="FK19" s="1056"/>
      <c r="FL19" s="1056"/>
      <c r="FM19" s="1056"/>
      <c r="FN19" s="1056"/>
      <c r="FO19" s="1056"/>
      <c r="FP19" s="1056"/>
      <c r="FQ19" s="1056"/>
      <c r="FR19" s="1056"/>
      <c r="FS19" s="1056"/>
      <c r="FT19" s="1056"/>
      <c r="FU19" s="1056"/>
      <c r="FV19" s="1056"/>
      <c r="FW19" s="1056"/>
      <c r="FX19" s="1056"/>
      <c r="FY19" s="1056"/>
      <c r="FZ19" s="1056"/>
      <c r="GA19" s="1056"/>
      <c r="GB19" s="1056"/>
      <c r="GC19" s="1056"/>
      <c r="GD19" s="1056"/>
      <c r="GE19" s="1056"/>
      <c r="GF19" s="1056"/>
      <c r="GG19" s="1056"/>
      <c r="GH19" s="1056"/>
      <c r="GI19" s="1056"/>
      <c r="GJ19" s="1056"/>
      <c r="GK19" s="1056"/>
      <c r="GL19" s="1056"/>
      <c r="GM19" s="1056"/>
      <c r="GN19" s="1056"/>
      <c r="GO19" s="1056"/>
      <c r="GP19" s="1056"/>
      <c r="GQ19" s="1056"/>
      <c r="GR19" s="1056"/>
      <c r="GS19" s="1056"/>
      <c r="GT19" s="1056"/>
      <c r="GU19" s="1056"/>
      <c r="GV19" s="1056"/>
      <c r="GW19" s="1056"/>
      <c r="GX19" s="1056"/>
      <c r="GY19" s="1056"/>
      <c r="GZ19" s="1056"/>
      <c r="HA19" s="1056"/>
      <c r="HB19" s="1056"/>
      <c r="HC19" s="1056"/>
      <c r="HD19" s="1056"/>
      <c r="HE19" s="1056"/>
      <c r="HF19" s="1056"/>
      <c r="HG19" s="1056"/>
      <c r="HH19" s="1056"/>
      <c r="HI19" s="1056"/>
      <c r="HJ19" s="1056"/>
      <c r="HK19" s="1056"/>
      <c r="HL19" s="1056"/>
      <c r="HM19" s="1056"/>
      <c r="HN19" s="1056"/>
      <c r="HO19" s="1056"/>
      <c r="HP19" s="1056"/>
      <c r="HQ19" s="1056"/>
      <c r="HR19" s="1056"/>
      <c r="HS19" s="1056"/>
      <c r="HT19" s="1056"/>
      <c r="HU19" s="1056"/>
      <c r="HV19" s="1056"/>
      <c r="HW19" s="1056"/>
      <c r="HX19" s="1056"/>
      <c r="HY19" s="1056"/>
      <c r="HZ19" s="1056"/>
      <c r="IA19" s="1056"/>
      <c r="IB19" s="1056"/>
      <c r="IC19" s="1056"/>
      <c r="ID19" s="1056"/>
      <c r="IE19" s="1056"/>
      <c r="IF19" s="1056"/>
      <c r="IG19" s="1056"/>
      <c r="IH19" s="1056"/>
      <c r="II19" s="1056"/>
      <c r="IJ19" s="1056"/>
      <c r="IK19" s="1056"/>
      <c r="IL19" s="1056"/>
      <c r="IM19" s="1056"/>
      <c r="IN19" s="1056"/>
      <c r="IO19" s="1056"/>
      <c r="IP19" s="1056"/>
      <c r="IQ19" s="1056"/>
      <c r="IR19" s="1056"/>
      <c r="IS19" s="1056"/>
      <c r="IT19" s="1056"/>
    </row>
    <row r="20" spans="1:254" ht="51.75" customHeight="1" x14ac:dyDescent="0.25">
      <c r="A20" s="1112"/>
      <c r="B20" s="1113"/>
      <c r="C20" s="1113"/>
      <c r="D20" s="1114"/>
      <c r="E20" s="1113"/>
      <c r="F20" s="1113"/>
      <c r="G20" s="1114"/>
      <c r="H20" s="1113"/>
      <c r="I20" s="1113"/>
      <c r="J20" s="2646">
        <v>279</v>
      </c>
      <c r="K20" s="2812" t="s">
        <v>1013</v>
      </c>
      <c r="L20" s="2646" t="s">
        <v>1014</v>
      </c>
      <c r="M20" s="2646">
        <v>1</v>
      </c>
      <c r="N20" s="2647"/>
      <c r="O20" s="2744"/>
      <c r="P20" s="2623"/>
      <c r="Q20" s="2832">
        <f>+(V21+V20)/R19</f>
        <v>0.97740251122457944</v>
      </c>
      <c r="R20" s="2831"/>
      <c r="S20" s="2623"/>
      <c r="T20" s="2850" t="s">
        <v>1015</v>
      </c>
      <c r="U20" s="2850" t="s">
        <v>1016</v>
      </c>
      <c r="V20" s="1119">
        <v>306000000</v>
      </c>
      <c r="W20" s="1117">
        <v>20</v>
      </c>
      <c r="X20" s="1118" t="s">
        <v>62</v>
      </c>
      <c r="Y20" s="2837"/>
      <c r="Z20" s="2835"/>
      <c r="AA20" s="2835"/>
      <c r="AB20" s="2835"/>
      <c r="AC20" s="2835"/>
      <c r="AD20" s="2835"/>
      <c r="AE20" s="2835"/>
      <c r="AF20" s="2835"/>
      <c r="AG20" s="2835"/>
      <c r="AH20" s="2835"/>
      <c r="AI20" s="2835"/>
      <c r="AJ20" s="2835"/>
      <c r="AK20" s="2835"/>
      <c r="AL20" s="2835"/>
      <c r="AM20" s="2835"/>
      <c r="AN20" s="2835"/>
      <c r="AO20" s="2845"/>
      <c r="AP20" s="2845"/>
      <c r="AQ20" s="2819"/>
      <c r="AR20" s="1056"/>
      <c r="AS20" s="1056"/>
      <c r="AT20" s="1056"/>
      <c r="AU20" s="1056"/>
      <c r="AV20" s="1056"/>
      <c r="AW20" s="1056"/>
      <c r="AX20" s="1056"/>
      <c r="AY20" s="1056"/>
      <c r="AZ20" s="1056"/>
      <c r="BA20" s="1056"/>
      <c r="BB20" s="1056"/>
      <c r="BC20" s="1056"/>
      <c r="BD20" s="1056"/>
      <c r="BE20" s="1056"/>
      <c r="BF20" s="1056"/>
      <c r="BG20" s="1056"/>
      <c r="BH20" s="1056"/>
      <c r="BI20" s="1056"/>
      <c r="BJ20" s="1056"/>
      <c r="BK20" s="1056"/>
      <c r="BL20" s="1056"/>
      <c r="BM20" s="1056"/>
      <c r="BN20" s="1056"/>
      <c r="BO20" s="1056"/>
      <c r="BP20" s="1056"/>
      <c r="BQ20" s="1056"/>
      <c r="BR20" s="1056"/>
      <c r="BS20" s="1056"/>
      <c r="BT20" s="1056"/>
      <c r="BU20" s="1056"/>
      <c r="BV20" s="1056"/>
      <c r="BW20" s="1056"/>
      <c r="BX20" s="1056"/>
      <c r="BY20" s="1056"/>
      <c r="BZ20" s="1056"/>
      <c r="CA20" s="1056"/>
      <c r="CB20" s="1056"/>
      <c r="CC20" s="1056"/>
      <c r="CD20" s="1056"/>
      <c r="CE20" s="1056"/>
      <c r="CF20" s="1056"/>
      <c r="CG20" s="1056"/>
      <c r="CH20" s="1056"/>
      <c r="CI20" s="1056"/>
      <c r="CJ20" s="1056"/>
      <c r="CK20" s="1056"/>
      <c r="CL20" s="1056"/>
      <c r="CM20" s="1056"/>
      <c r="CN20" s="1056"/>
      <c r="CO20" s="1056"/>
      <c r="CP20" s="1056"/>
      <c r="CQ20" s="1056"/>
      <c r="CR20" s="1056"/>
      <c r="CS20" s="1056"/>
      <c r="CT20" s="1056"/>
      <c r="CU20" s="1056"/>
      <c r="CV20" s="1056"/>
      <c r="CW20" s="1056"/>
      <c r="CX20" s="1056"/>
      <c r="CY20" s="1056"/>
      <c r="CZ20" s="1056"/>
      <c r="DA20" s="1056"/>
      <c r="DB20" s="1056"/>
      <c r="DC20" s="1056"/>
      <c r="DD20" s="1056"/>
      <c r="DE20" s="1056"/>
      <c r="DF20" s="1056"/>
      <c r="DG20" s="1056"/>
      <c r="DH20" s="1056"/>
      <c r="DI20" s="1056"/>
      <c r="DJ20" s="1056"/>
      <c r="DK20" s="1056"/>
      <c r="DL20" s="1056"/>
      <c r="DM20" s="1056"/>
      <c r="DN20" s="1056"/>
      <c r="DO20" s="1056"/>
      <c r="DP20" s="1056"/>
      <c r="DQ20" s="1056"/>
      <c r="DR20" s="1056"/>
      <c r="DS20" s="1056"/>
      <c r="DT20" s="1056"/>
      <c r="DU20" s="1056"/>
      <c r="DV20" s="1056"/>
      <c r="DW20" s="1056"/>
      <c r="DX20" s="1056"/>
      <c r="DY20" s="1056"/>
      <c r="DZ20" s="1056"/>
      <c r="EA20" s="1056"/>
      <c r="EB20" s="1056"/>
      <c r="EC20" s="1056"/>
      <c r="ED20" s="1056"/>
      <c r="EE20" s="1056"/>
      <c r="EF20" s="1056"/>
      <c r="EG20" s="1056"/>
      <c r="EH20" s="1056"/>
      <c r="EI20" s="1056"/>
      <c r="EJ20" s="1056"/>
      <c r="EK20" s="1056"/>
      <c r="EL20" s="1056"/>
      <c r="EM20" s="1056"/>
      <c r="EN20" s="1056"/>
      <c r="EO20" s="1056"/>
      <c r="EP20" s="1056"/>
      <c r="EQ20" s="1056"/>
      <c r="ER20" s="1056"/>
      <c r="ES20" s="1056"/>
      <c r="ET20" s="1056"/>
      <c r="EU20" s="1056"/>
      <c r="EV20" s="1056"/>
      <c r="EW20" s="1056"/>
      <c r="EX20" s="1056"/>
      <c r="EY20" s="1056"/>
      <c r="EZ20" s="1056"/>
      <c r="FA20" s="1056"/>
      <c r="FB20" s="1056"/>
      <c r="FC20" s="1056"/>
      <c r="FD20" s="1056"/>
      <c r="FE20" s="1056"/>
      <c r="FF20" s="1056"/>
      <c r="FG20" s="1056"/>
      <c r="FH20" s="1056"/>
      <c r="FI20" s="1056"/>
      <c r="FJ20" s="1056"/>
      <c r="FK20" s="1056"/>
      <c r="FL20" s="1056"/>
      <c r="FM20" s="1056"/>
      <c r="FN20" s="1056"/>
      <c r="FO20" s="1056"/>
      <c r="FP20" s="1056"/>
      <c r="FQ20" s="1056"/>
      <c r="FR20" s="1056"/>
      <c r="FS20" s="1056"/>
      <c r="FT20" s="1056"/>
      <c r="FU20" s="1056"/>
      <c r="FV20" s="1056"/>
      <c r="FW20" s="1056"/>
      <c r="FX20" s="1056"/>
      <c r="FY20" s="1056"/>
      <c r="FZ20" s="1056"/>
      <c r="GA20" s="1056"/>
      <c r="GB20" s="1056"/>
      <c r="GC20" s="1056"/>
      <c r="GD20" s="1056"/>
      <c r="GE20" s="1056"/>
      <c r="GF20" s="1056"/>
      <c r="GG20" s="1056"/>
      <c r="GH20" s="1056"/>
      <c r="GI20" s="1056"/>
      <c r="GJ20" s="1056"/>
      <c r="GK20" s="1056"/>
      <c r="GL20" s="1056"/>
      <c r="GM20" s="1056"/>
      <c r="GN20" s="1056"/>
      <c r="GO20" s="1056"/>
      <c r="GP20" s="1056"/>
      <c r="GQ20" s="1056"/>
      <c r="GR20" s="1056"/>
      <c r="GS20" s="1056"/>
      <c r="GT20" s="1056"/>
      <c r="GU20" s="1056"/>
      <c r="GV20" s="1056"/>
      <c r="GW20" s="1056"/>
      <c r="GX20" s="1056"/>
      <c r="GY20" s="1056"/>
      <c r="GZ20" s="1056"/>
      <c r="HA20" s="1056"/>
      <c r="HB20" s="1056"/>
      <c r="HC20" s="1056"/>
      <c r="HD20" s="1056"/>
      <c r="HE20" s="1056"/>
      <c r="HF20" s="1056"/>
      <c r="HG20" s="1056"/>
      <c r="HH20" s="1056"/>
      <c r="HI20" s="1056"/>
      <c r="HJ20" s="1056"/>
      <c r="HK20" s="1056"/>
      <c r="HL20" s="1056"/>
      <c r="HM20" s="1056"/>
      <c r="HN20" s="1056"/>
      <c r="HO20" s="1056"/>
      <c r="HP20" s="1056"/>
      <c r="HQ20" s="1056"/>
      <c r="HR20" s="1056"/>
      <c r="HS20" s="1056"/>
      <c r="HT20" s="1056"/>
      <c r="HU20" s="1056"/>
      <c r="HV20" s="1056"/>
      <c r="HW20" s="1056"/>
      <c r="HX20" s="1056"/>
      <c r="HY20" s="1056"/>
      <c r="HZ20" s="1056"/>
      <c r="IA20" s="1056"/>
      <c r="IB20" s="1056"/>
      <c r="IC20" s="1056"/>
      <c r="ID20" s="1056"/>
      <c r="IE20" s="1056"/>
      <c r="IF20" s="1056"/>
      <c r="IG20" s="1056"/>
      <c r="IH20" s="1056"/>
      <c r="II20" s="1056"/>
      <c r="IJ20" s="1056"/>
      <c r="IK20" s="1056"/>
      <c r="IL20" s="1056"/>
      <c r="IM20" s="1056"/>
      <c r="IN20" s="1056"/>
      <c r="IO20" s="1056"/>
      <c r="IP20" s="1056"/>
      <c r="IQ20" s="1056"/>
      <c r="IR20" s="1056"/>
      <c r="IS20" s="1056"/>
      <c r="IT20" s="1056"/>
    </row>
    <row r="21" spans="1:254" ht="75.75" customHeight="1" thickBot="1" x14ac:dyDescent="0.3">
      <c r="A21" s="1112"/>
      <c r="B21" s="1113"/>
      <c r="C21" s="1113"/>
      <c r="D21" s="1114"/>
      <c r="E21" s="1113"/>
      <c r="F21" s="1113"/>
      <c r="G21" s="1114"/>
      <c r="H21" s="1113"/>
      <c r="I21" s="1113"/>
      <c r="J21" s="2847"/>
      <c r="K21" s="2848"/>
      <c r="L21" s="2847"/>
      <c r="M21" s="2847"/>
      <c r="N21" s="2647"/>
      <c r="O21" s="2622"/>
      <c r="P21" s="2623"/>
      <c r="Q21" s="2849"/>
      <c r="R21" s="2831"/>
      <c r="S21" s="2623"/>
      <c r="T21" s="2851"/>
      <c r="U21" s="2851"/>
      <c r="V21" s="1119">
        <f>0+126527048</f>
        <v>126527048</v>
      </c>
      <c r="W21" s="1126">
        <v>88</v>
      </c>
      <c r="X21" s="1127" t="s">
        <v>358</v>
      </c>
      <c r="Y21" s="2837"/>
      <c r="Z21" s="2835"/>
      <c r="AA21" s="2835"/>
      <c r="AB21" s="2835"/>
      <c r="AC21" s="2835"/>
      <c r="AD21" s="2835"/>
      <c r="AE21" s="2835"/>
      <c r="AF21" s="2835"/>
      <c r="AG21" s="2835"/>
      <c r="AH21" s="2835"/>
      <c r="AI21" s="2835"/>
      <c r="AJ21" s="2835"/>
      <c r="AK21" s="2835"/>
      <c r="AL21" s="2835"/>
      <c r="AM21" s="2835"/>
      <c r="AN21" s="2835"/>
      <c r="AO21" s="2826"/>
      <c r="AP21" s="2826"/>
      <c r="AQ21" s="2846"/>
      <c r="AR21" s="1056"/>
      <c r="AS21" s="1056"/>
      <c r="AT21" s="1056"/>
      <c r="AU21" s="1056"/>
      <c r="AV21" s="1056"/>
      <c r="AW21" s="1056"/>
      <c r="AX21" s="1056"/>
      <c r="AY21" s="1056"/>
      <c r="AZ21" s="1056"/>
      <c r="BA21" s="1056"/>
      <c r="BB21" s="1056"/>
      <c r="BC21" s="1056"/>
      <c r="BD21" s="1056"/>
      <c r="BE21" s="1056"/>
      <c r="BF21" s="1056"/>
      <c r="BG21" s="1056"/>
      <c r="BH21" s="1056"/>
      <c r="BI21" s="1056"/>
      <c r="BJ21" s="1056"/>
      <c r="BK21" s="1056"/>
      <c r="BL21" s="1056"/>
      <c r="BM21" s="1056"/>
      <c r="BN21" s="1056"/>
      <c r="BO21" s="1056"/>
      <c r="BP21" s="1056"/>
      <c r="BQ21" s="1056"/>
      <c r="BR21" s="1056"/>
      <c r="BS21" s="1056"/>
      <c r="BT21" s="1056"/>
      <c r="BU21" s="1056"/>
      <c r="BV21" s="1056"/>
      <c r="BW21" s="1056"/>
      <c r="BX21" s="1056"/>
      <c r="BY21" s="1056"/>
      <c r="BZ21" s="1056"/>
      <c r="CA21" s="1056"/>
      <c r="CB21" s="1056"/>
      <c r="CC21" s="1056"/>
      <c r="CD21" s="1056"/>
      <c r="CE21" s="1056"/>
      <c r="CF21" s="1056"/>
      <c r="CG21" s="1056"/>
      <c r="CH21" s="1056"/>
      <c r="CI21" s="1056"/>
      <c r="CJ21" s="1056"/>
      <c r="CK21" s="1056"/>
      <c r="CL21" s="1056"/>
      <c r="CM21" s="1056"/>
      <c r="CN21" s="1056"/>
      <c r="CO21" s="1056"/>
      <c r="CP21" s="1056"/>
      <c r="CQ21" s="1056"/>
      <c r="CR21" s="1056"/>
      <c r="CS21" s="1056"/>
      <c r="CT21" s="1056"/>
      <c r="CU21" s="1056"/>
      <c r="CV21" s="1056"/>
      <c r="CW21" s="1056"/>
      <c r="CX21" s="1056"/>
      <c r="CY21" s="1056"/>
      <c r="CZ21" s="1056"/>
      <c r="DA21" s="1056"/>
      <c r="DB21" s="1056"/>
      <c r="DC21" s="1056"/>
      <c r="DD21" s="1056"/>
      <c r="DE21" s="1056"/>
      <c r="DF21" s="1056"/>
      <c r="DG21" s="1056"/>
      <c r="DH21" s="1056"/>
      <c r="DI21" s="1056"/>
      <c r="DJ21" s="1056"/>
      <c r="DK21" s="1056"/>
      <c r="DL21" s="1056"/>
      <c r="DM21" s="1056"/>
      <c r="DN21" s="1056"/>
      <c r="DO21" s="1056"/>
      <c r="DP21" s="1056"/>
      <c r="DQ21" s="1056"/>
      <c r="DR21" s="1056"/>
      <c r="DS21" s="1056"/>
      <c r="DT21" s="1056"/>
      <c r="DU21" s="1056"/>
      <c r="DV21" s="1056"/>
      <c r="DW21" s="1056"/>
      <c r="DX21" s="1056"/>
      <c r="DY21" s="1056"/>
      <c r="DZ21" s="1056"/>
      <c r="EA21" s="1056"/>
      <c r="EB21" s="1056"/>
      <c r="EC21" s="1056"/>
      <c r="ED21" s="1056"/>
      <c r="EE21" s="1056"/>
      <c r="EF21" s="1056"/>
      <c r="EG21" s="1056"/>
      <c r="EH21" s="1056"/>
      <c r="EI21" s="1056"/>
      <c r="EJ21" s="1056"/>
      <c r="EK21" s="1056"/>
      <c r="EL21" s="1056"/>
      <c r="EM21" s="1056"/>
      <c r="EN21" s="1056"/>
      <c r="EO21" s="1056"/>
      <c r="EP21" s="1056"/>
      <c r="EQ21" s="1056"/>
      <c r="ER21" s="1056"/>
      <c r="ES21" s="1056"/>
      <c r="ET21" s="1056"/>
      <c r="EU21" s="1056"/>
      <c r="EV21" s="1056"/>
      <c r="EW21" s="1056"/>
      <c r="EX21" s="1056"/>
      <c r="EY21" s="1056"/>
      <c r="EZ21" s="1056"/>
      <c r="FA21" s="1056"/>
      <c r="FB21" s="1056"/>
      <c r="FC21" s="1056"/>
      <c r="FD21" s="1056"/>
      <c r="FE21" s="1056"/>
      <c r="FF21" s="1056"/>
      <c r="FG21" s="1056"/>
      <c r="FH21" s="1056"/>
      <c r="FI21" s="1056"/>
      <c r="FJ21" s="1056"/>
      <c r="FK21" s="1056"/>
      <c r="FL21" s="1056"/>
      <c r="FM21" s="1056"/>
      <c r="FN21" s="1056"/>
      <c r="FO21" s="1056"/>
      <c r="FP21" s="1056"/>
      <c r="FQ21" s="1056"/>
      <c r="FR21" s="1056"/>
      <c r="FS21" s="1056"/>
      <c r="FT21" s="1056"/>
      <c r="FU21" s="1056"/>
      <c r="FV21" s="1056"/>
      <c r="FW21" s="1056"/>
      <c r="FX21" s="1056"/>
      <c r="FY21" s="1056"/>
      <c r="FZ21" s="1056"/>
      <c r="GA21" s="1056"/>
      <c r="GB21" s="1056"/>
      <c r="GC21" s="1056"/>
      <c r="GD21" s="1056"/>
      <c r="GE21" s="1056"/>
      <c r="GF21" s="1056"/>
      <c r="GG21" s="1056"/>
      <c r="GH21" s="1056"/>
      <c r="GI21" s="1056"/>
      <c r="GJ21" s="1056"/>
      <c r="GK21" s="1056"/>
      <c r="GL21" s="1056"/>
      <c r="GM21" s="1056"/>
      <c r="GN21" s="1056"/>
      <c r="GO21" s="1056"/>
      <c r="GP21" s="1056"/>
      <c r="GQ21" s="1056"/>
      <c r="GR21" s="1056"/>
      <c r="GS21" s="1056"/>
      <c r="GT21" s="1056"/>
      <c r="GU21" s="1056"/>
      <c r="GV21" s="1056"/>
      <c r="GW21" s="1056"/>
      <c r="GX21" s="1056"/>
      <c r="GY21" s="1056"/>
      <c r="GZ21" s="1056"/>
      <c r="HA21" s="1056"/>
      <c r="HB21" s="1056"/>
      <c r="HC21" s="1056"/>
      <c r="HD21" s="1056"/>
      <c r="HE21" s="1056"/>
      <c r="HF21" s="1056"/>
      <c r="HG21" s="1056"/>
      <c r="HH21" s="1056"/>
      <c r="HI21" s="1056"/>
      <c r="HJ21" s="1056"/>
      <c r="HK21" s="1056"/>
      <c r="HL21" s="1056"/>
      <c r="HM21" s="1056"/>
      <c r="HN21" s="1056"/>
      <c r="HO21" s="1056"/>
      <c r="HP21" s="1056"/>
      <c r="HQ21" s="1056"/>
      <c r="HR21" s="1056"/>
      <c r="HS21" s="1056"/>
      <c r="HT21" s="1056"/>
      <c r="HU21" s="1056"/>
      <c r="HV21" s="1056"/>
      <c r="HW21" s="1056"/>
      <c r="HX21" s="1056"/>
      <c r="HY21" s="1056"/>
      <c r="HZ21" s="1056"/>
      <c r="IA21" s="1056"/>
      <c r="IB21" s="1056"/>
      <c r="IC21" s="1056"/>
      <c r="ID21" s="1056"/>
      <c r="IE21" s="1056"/>
      <c r="IF21" s="1056"/>
      <c r="IG21" s="1056"/>
      <c r="IH21" s="1056"/>
      <c r="II21" s="1056"/>
      <c r="IJ21" s="1056"/>
      <c r="IK21" s="1056"/>
      <c r="IL21" s="1056"/>
      <c r="IM21" s="1056"/>
      <c r="IN21" s="1056"/>
      <c r="IO21" s="1056"/>
      <c r="IP21" s="1056"/>
      <c r="IQ21" s="1056"/>
      <c r="IR21" s="1056"/>
      <c r="IS21" s="1056"/>
      <c r="IT21" s="1056"/>
    </row>
    <row r="22" spans="1:254" ht="16.5" thickBot="1" x14ac:dyDescent="0.3">
      <c r="A22" s="1128"/>
      <c r="B22" s="1129"/>
      <c r="C22" s="1129"/>
      <c r="D22" s="1129"/>
      <c r="E22" s="1129"/>
      <c r="F22" s="1129"/>
      <c r="G22" s="1129"/>
      <c r="H22" s="1129"/>
      <c r="I22" s="1129"/>
      <c r="J22" s="1130"/>
      <c r="K22" s="1131"/>
      <c r="L22" s="1131"/>
      <c r="M22" s="1132"/>
      <c r="N22" s="1131"/>
      <c r="O22" s="1131"/>
      <c r="P22" s="1131"/>
      <c r="Q22" s="1133"/>
      <c r="R22" s="1134">
        <f>SUM(R12:R21)</f>
        <v>2348473039</v>
      </c>
      <c r="S22" s="1135"/>
      <c r="T22" s="1131"/>
      <c r="U22" s="1136"/>
      <c r="V22" s="1137">
        <f>SUM(V12:V21)</f>
        <v>2348473039</v>
      </c>
      <c r="W22" s="1138"/>
      <c r="X22" s="1139"/>
      <c r="Y22" s="1129"/>
      <c r="Z22" s="1129"/>
      <c r="AA22" s="1129"/>
      <c r="AB22" s="1129"/>
      <c r="AC22" s="1129"/>
      <c r="AD22" s="1129"/>
      <c r="AE22" s="1129"/>
      <c r="AF22" s="1129"/>
      <c r="AG22" s="1129"/>
      <c r="AH22" s="1129"/>
      <c r="AI22" s="1129"/>
      <c r="AJ22" s="1129"/>
      <c r="AK22" s="1129"/>
      <c r="AL22" s="1129"/>
      <c r="AM22" s="1129"/>
      <c r="AN22" s="1129"/>
      <c r="AO22" s="1140"/>
      <c r="AP22" s="1141"/>
      <c r="AQ22" s="1136"/>
      <c r="AR22" s="1142"/>
      <c r="AS22" s="1142"/>
      <c r="AT22" s="1142"/>
      <c r="AU22" s="1142"/>
      <c r="AV22" s="1142"/>
      <c r="AW22" s="1142"/>
      <c r="AX22" s="1142"/>
      <c r="AY22" s="1142"/>
      <c r="AZ22" s="1142"/>
      <c r="BA22" s="1142"/>
      <c r="BB22" s="1142"/>
      <c r="BC22" s="1142"/>
      <c r="BD22" s="1142"/>
      <c r="BE22" s="1142"/>
      <c r="BF22" s="1142"/>
      <c r="BG22" s="1142"/>
      <c r="BH22" s="1142"/>
      <c r="BI22" s="1142"/>
      <c r="BJ22" s="1142"/>
      <c r="BK22" s="1142"/>
      <c r="BL22" s="1142"/>
      <c r="BM22" s="1142"/>
      <c r="BN22" s="1142"/>
      <c r="BO22" s="1142"/>
      <c r="BP22" s="1142"/>
      <c r="BQ22" s="1142"/>
      <c r="BR22" s="1142"/>
      <c r="BS22" s="1142"/>
      <c r="BT22" s="1142"/>
      <c r="BU22" s="1142"/>
      <c r="BV22" s="1142"/>
      <c r="BW22" s="1142"/>
      <c r="BX22" s="1142"/>
      <c r="BY22" s="1142"/>
      <c r="BZ22" s="1142"/>
      <c r="CA22" s="1142"/>
      <c r="CB22" s="1142"/>
      <c r="CC22" s="1142"/>
      <c r="CD22" s="1142"/>
      <c r="CE22" s="1142"/>
      <c r="CF22" s="1142"/>
      <c r="CG22" s="1142"/>
      <c r="CH22" s="1142"/>
      <c r="CI22" s="1142"/>
      <c r="CJ22" s="1142"/>
      <c r="CK22" s="1142"/>
      <c r="CL22" s="1142"/>
      <c r="CM22" s="1142"/>
      <c r="CN22" s="1142"/>
      <c r="CO22" s="1142"/>
      <c r="CP22" s="1142"/>
      <c r="CQ22" s="1142"/>
      <c r="CR22" s="1142"/>
      <c r="CS22" s="1142"/>
      <c r="CT22" s="1142"/>
      <c r="CU22" s="1142"/>
      <c r="CV22" s="1142"/>
      <c r="CW22" s="1142"/>
      <c r="CX22" s="1142"/>
      <c r="CY22" s="1142"/>
      <c r="CZ22" s="1142"/>
      <c r="DA22" s="1142"/>
      <c r="DB22" s="1142"/>
      <c r="DC22" s="1142"/>
      <c r="DD22" s="1142"/>
      <c r="DE22" s="1142"/>
      <c r="DF22" s="1142"/>
      <c r="DG22" s="1142"/>
      <c r="DH22" s="1142"/>
      <c r="DI22" s="1142"/>
      <c r="DJ22" s="1142"/>
      <c r="DK22" s="1142"/>
      <c r="DL22" s="1142"/>
      <c r="DM22" s="1142"/>
      <c r="DN22" s="1142"/>
      <c r="DO22" s="1142"/>
      <c r="DP22" s="1142"/>
      <c r="DQ22" s="1142"/>
      <c r="DR22" s="1142"/>
      <c r="DS22" s="1142"/>
      <c r="DT22" s="1142"/>
      <c r="DU22" s="1142"/>
      <c r="DV22" s="1142"/>
      <c r="DW22" s="1142"/>
      <c r="DX22" s="1142"/>
      <c r="DY22" s="1142"/>
      <c r="DZ22" s="1142"/>
      <c r="EA22" s="1142"/>
      <c r="EB22" s="1142"/>
      <c r="EC22" s="1142"/>
      <c r="ED22" s="1142"/>
      <c r="EE22" s="1142"/>
      <c r="EF22" s="1142"/>
      <c r="EG22" s="1142"/>
      <c r="EH22" s="1142"/>
      <c r="EI22" s="1142"/>
      <c r="EJ22" s="1142"/>
      <c r="EK22" s="1142"/>
      <c r="EL22" s="1142"/>
      <c r="EM22" s="1142"/>
      <c r="EN22" s="1142"/>
      <c r="EO22" s="1142"/>
      <c r="EP22" s="1142"/>
      <c r="EQ22" s="1142"/>
      <c r="ER22" s="1142"/>
      <c r="ES22" s="1142"/>
      <c r="ET22" s="1142"/>
      <c r="EU22" s="1142"/>
      <c r="EV22" s="1142"/>
      <c r="EW22" s="1142"/>
      <c r="EX22" s="1142"/>
      <c r="EY22" s="1142"/>
      <c r="EZ22" s="1142"/>
      <c r="FA22" s="1142"/>
      <c r="FB22" s="1142"/>
      <c r="FC22" s="1142"/>
      <c r="FD22" s="1142"/>
      <c r="FE22" s="1142"/>
      <c r="FF22" s="1142"/>
      <c r="FG22" s="1142"/>
      <c r="FH22" s="1142"/>
      <c r="FI22" s="1142"/>
      <c r="FJ22" s="1142"/>
      <c r="FK22" s="1142"/>
      <c r="FL22" s="1142"/>
      <c r="FM22" s="1142"/>
      <c r="FN22" s="1142"/>
      <c r="FO22" s="1142"/>
      <c r="FP22" s="1142"/>
      <c r="FQ22" s="1142"/>
      <c r="FR22" s="1142"/>
      <c r="FS22" s="1142"/>
      <c r="FT22" s="1142"/>
      <c r="FU22" s="1142"/>
      <c r="FV22" s="1142"/>
      <c r="FW22" s="1142"/>
      <c r="FX22" s="1142"/>
      <c r="FY22" s="1142"/>
      <c r="FZ22" s="1142"/>
      <c r="GA22" s="1142"/>
      <c r="GB22" s="1142"/>
      <c r="GC22" s="1142"/>
      <c r="GD22" s="1142"/>
      <c r="GE22" s="1142"/>
      <c r="GF22" s="1142"/>
      <c r="GG22" s="1142"/>
      <c r="GH22" s="1142"/>
      <c r="GI22" s="1142"/>
      <c r="GJ22" s="1142"/>
      <c r="GK22" s="1142"/>
      <c r="GL22" s="1142"/>
      <c r="GM22" s="1142"/>
      <c r="GN22" s="1142"/>
      <c r="GO22" s="1142"/>
      <c r="GP22" s="1142"/>
      <c r="GQ22" s="1142"/>
      <c r="GR22" s="1142"/>
      <c r="GS22" s="1142"/>
      <c r="GT22" s="1142"/>
      <c r="GU22" s="1142"/>
      <c r="GV22" s="1142"/>
      <c r="GW22" s="1142"/>
      <c r="GX22" s="1142"/>
      <c r="GY22" s="1142"/>
      <c r="GZ22" s="1142"/>
      <c r="HA22" s="1142"/>
      <c r="HB22" s="1142"/>
      <c r="HC22" s="1142"/>
      <c r="HD22" s="1142"/>
      <c r="HE22" s="1142"/>
      <c r="HF22" s="1142"/>
      <c r="HG22" s="1142"/>
      <c r="HH22" s="1142"/>
      <c r="HI22" s="1142"/>
      <c r="HJ22" s="1142"/>
      <c r="HK22" s="1142"/>
      <c r="HL22" s="1142"/>
      <c r="HM22" s="1142"/>
      <c r="HN22" s="1142"/>
      <c r="HO22" s="1142"/>
      <c r="HP22" s="1142"/>
      <c r="HQ22" s="1142"/>
      <c r="HR22" s="1142"/>
      <c r="HS22" s="1142"/>
      <c r="HT22" s="1142"/>
      <c r="HU22" s="1142"/>
      <c r="HV22" s="1142"/>
      <c r="HW22" s="1142"/>
      <c r="HX22" s="1142"/>
      <c r="HY22" s="1142"/>
      <c r="HZ22" s="1142"/>
      <c r="IA22" s="1142"/>
      <c r="IB22" s="1142"/>
      <c r="IC22" s="1142"/>
      <c r="ID22" s="1142"/>
      <c r="IE22" s="1142"/>
      <c r="IF22" s="1142"/>
      <c r="IG22" s="1142"/>
      <c r="IH22" s="1142"/>
      <c r="II22" s="1142"/>
      <c r="IJ22" s="1142"/>
      <c r="IK22" s="1142"/>
      <c r="IL22" s="1142"/>
      <c r="IM22" s="1142"/>
      <c r="IN22" s="1142"/>
      <c r="IO22" s="1142"/>
      <c r="IP22" s="1142"/>
      <c r="IQ22" s="1142"/>
      <c r="IR22" s="1142"/>
      <c r="IS22" s="1142"/>
      <c r="IT22" s="1142"/>
    </row>
    <row r="23" spans="1:254" x14ac:dyDescent="0.25">
      <c r="A23" s="2842"/>
      <c r="B23" s="2842"/>
      <c r="C23" s="2842"/>
      <c r="D23" s="2842"/>
      <c r="E23" s="2842"/>
      <c r="F23" s="2842"/>
      <c r="G23" s="2842"/>
      <c r="H23" s="2842"/>
      <c r="I23" s="2842"/>
      <c r="J23" s="2842"/>
      <c r="K23" s="2842"/>
      <c r="L23" s="2842"/>
      <c r="M23" s="2842"/>
      <c r="N23" s="2842"/>
      <c r="O23" s="2842"/>
      <c r="P23" s="2842"/>
      <c r="Q23" s="2842"/>
      <c r="R23" s="1143" t="s">
        <v>1017</v>
      </c>
      <c r="S23" s="2843"/>
      <c r="T23" s="2843"/>
      <c r="U23" s="2843"/>
      <c r="V23" s="1144"/>
      <c r="W23" s="1145"/>
      <c r="X23" s="1146"/>
      <c r="Y23" s="1056"/>
      <c r="Z23" s="1147"/>
      <c r="AA23" s="1147"/>
      <c r="AB23" s="1147"/>
      <c r="AC23" s="1148"/>
      <c r="AD23" s="1148"/>
      <c r="AE23" s="1148"/>
      <c r="AF23" s="1148"/>
      <c r="AG23" s="1148"/>
      <c r="AH23" s="1148"/>
      <c r="AI23" s="1148"/>
      <c r="AJ23" s="1148"/>
      <c r="AK23" s="1148"/>
      <c r="AL23" s="1148"/>
      <c r="AM23" s="1148"/>
      <c r="AN23" s="1148"/>
      <c r="AO23" s="1148"/>
      <c r="AP23" s="1148"/>
      <c r="AQ23" s="1148"/>
      <c r="AR23" s="1148"/>
      <c r="AS23" s="1148"/>
      <c r="AT23" s="1148"/>
      <c r="AU23" s="1148"/>
      <c r="AV23" s="1148"/>
      <c r="AW23" s="1148"/>
      <c r="AX23" s="1148"/>
      <c r="AY23" s="1148"/>
      <c r="AZ23" s="1148"/>
      <c r="BA23" s="1148"/>
      <c r="BB23" s="1148"/>
      <c r="BC23" s="1148"/>
      <c r="BD23" s="1147"/>
      <c r="BE23" s="1147"/>
      <c r="BF23" s="1148"/>
      <c r="BG23" s="1148"/>
      <c r="BH23" s="1148"/>
      <c r="BI23" s="1148"/>
      <c r="BJ23" s="1148"/>
      <c r="BK23" s="1148"/>
      <c r="BL23" s="1148"/>
      <c r="BM23" s="1148"/>
    </row>
    <row r="24" spans="1:254" x14ac:dyDescent="0.25">
      <c r="A24" s="1149"/>
      <c r="B24" s="1149"/>
      <c r="C24" s="1149"/>
      <c r="D24" s="1149"/>
      <c r="E24" s="1149"/>
      <c r="F24" s="1149"/>
      <c r="G24" s="1149"/>
      <c r="H24" s="1149"/>
      <c r="I24" s="1149"/>
      <c r="J24" s="1149"/>
      <c r="K24" s="1149"/>
      <c r="L24" s="1149"/>
      <c r="M24" s="1149"/>
      <c r="N24" s="1149"/>
      <c r="O24" s="1149"/>
      <c r="P24" s="1149"/>
      <c r="Q24" s="1149"/>
      <c r="R24" s="1143"/>
      <c r="S24" s="1150"/>
      <c r="T24" s="1150"/>
      <c r="U24" s="1150"/>
      <c r="V24" s="1144"/>
      <c r="W24" s="1145"/>
      <c r="X24" s="1146"/>
      <c r="Y24" s="1151"/>
      <c r="Z24" s="1151"/>
      <c r="AA24" s="1151"/>
      <c r="AB24" s="1151"/>
      <c r="AC24" s="1151"/>
      <c r="AD24" s="1151"/>
      <c r="AE24" s="1151"/>
      <c r="AF24" s="1151"/>
      <c r="AG24" s="1151"/>
      <c r="AH24" s="1151"/>
      <c r="AI24" s="1151"/>
      <c r="AJ24" s="1151"/>
      <c r="AK24" s="1151"/>
      <c r="AL24" s="1151"/>
      <c r="AM24" s="1151"/>
      <c r="AN24" s="1151"/>
      <c r="AO24" s="1148"/>
      <c r="AP24" s="1148"/>
      <c r="AQ24" s="1148"/>
      <c r="AR24" s="1148"/>
      <c r="AS24" s="1148"/>
      <c r="AT24" s="1148"/>
      <c r="AU24" s="1148"/>
      <c r="AV24" s="1148"/>
      <c r="AW24" s="1148"/>
      <c r="AX24" s="1148"/>
      <c r="AY24" s="1148"/>
      <c r="AZ24" s="1148"/>
      <c r="BA24" s="1148"/>
      <c r="BB24" s="1148"/>
      <c r="BC24" s="1148"/>
      <c r="BD24" s="1147"/>
      <c r="BE24" s="1147"/>
      <c r="BF24" s="1148"/>
      <c r="BG24" s="1148"/>
      <c r="BH24" s="1148"/>
      <c r="BI24" s="1148"/>
      <c r="BJ24" s="1148"/>
      <c r="BK24" s="1148"/>
      <c r="BL24" s="1148"/>
      <c r="BM24" s="1148"/>
    </row>
    <row r="25" spans="1:254" x14ac:dyDescent="0.25">
      <c r="A25" s="1149"/>
      <c r="B25" s="1149"/>
      <c r="C25" s="1149"/>
      <c r="D25" s="1149"/>
      <c r="E25" s="1149"/>
      <c r="F25" s="1149"/>
      <c r="G25" s="1149"/>
      <c r="H25" s="1149"/>
      <c r="I25" s="1149"/>
      <c r="J25" s="1149"/>
      <c r="K25" s="1149"/>
      <c r="L25" s="1149"/>
      <c r="M25" s="1149"/>
      <c r="N25" s="1149"/>
      <c r="O25" s="1149"/>
      <c r="P25" s="1149"/>
      <c r="Q25" s="1149"/>
      <c r="R25" s="1143"/>
      <c r="S25" s="1150"/>
      <c r="T25" s="1150"/>
      <c r="U25" s="1150"/>
      <c r="V25" s="1144"/>
      <c r="W25" s="1145"/>
      <c r="X25" s="1146"/>
      <c r="Y25" s="1056"/>
      <c r="Z25" s="1147"/>
      <c r="AA25" s="1147"/>
      <c r="AB25" s="1147"/>
      <c r="AC25" s="1148"/>
      <c r="AD25" s="1148"/>
      <c r="AE25" s="1148"/>
      <c r="AF25" s="1148"/>
      <c r="AG25" s="1148"/>
      <c r="AH25" s="1148"/>
      <c r="AI25" s="1148"/>
      <c r="AJ25" s="1148"/>
      <c r="AK25" s="1148"/>
      <c r="AL25" s="1148"/>
      <c r="AM25" s="1148"/>
      <c r="AN25" s="1148"/>
      <c r="AO25" s="1148"/>
      <c r="AP25" s="1148"/>
      <c r="AQ25" s="1148"/>
      <c r="AR25" s="1148"/>
      <c r="AS25" s="1148"/>
      <c r="AT25" s="1148"/>
      <c r="AU25" s="1148"/>
      <c r="AV25" s="1148"/>
      <c r="AW25" s="1148"/>
      <c r="AX25" s="1148"/>
      <c r="AY25" s="1148"/>
      <c r="AZ25" s="1148"/>
      <c r="BA25" s="1148"/>
      <c r="BB25" s="1148"/>
      <c r="BC25" s="1148"/>
      <c r="BD25" s="1147"/>
      <c r="BE25" s="1147"/>
      <c r="BF25" s="1148"/>
      <c r="BG25" s="1148"/>
      <c r="BH25" s="1148"/>
      <c r="BI25" s="1148"/>
      <c r="BJ25" s="1148"/>
      <c r="BK25" s="1148"/>
      <c r="BL25" s="1148"/>
      <c r="BM25" s="1148"/>
    </row>
    <row r="26" spans="1:254" x14ac:dyDescent="0.25">
      <c r="A26" s="1149"/>
      <c r="B26" s="1149"/>
      <c r="C26" s="1149"/>
      <c r="D26" s="1149"/>
      <c r="E26" s="1149"/>
      <c r="F26" s="1149"/>
      <c r="G26" s="1149"/>
      <c r="H26" s="1149"/>
      <c r="I26" s="1149"/>
      <c r="J26" s="1149"/>
      <c r="K26" s="1149"/>
      <c r="L26" s="1149"/>
      <c r="M26" s="1149"/>
      <c r="N26" s="1149"/>
      <c r="O26" s="1149"/>
      <c r="P26" s="1149"/>
      <c r="Q26" s="1149"/>
      <c r="R26" s="1143"/>
      <c r="S26" s="1150"/>
      <c r="T26" s="1150"/>
      <c r="U26" s="1150"/>
      <c r="V26" s="1144"/>
      <c r="W26" s="1145"/>
      <c r="X26" s="1146"/>
      <c r="Y26" s="1151"/>
      <c r="Z26" s="1151"/>
      <c r="AA26" s="1151"/>
      <c r="AB26" s="1151"/>
      <c r="AC26" s="1151"/>
      <c r="AD26" s="1151"/>
      <c r="AE26" s="1151"/>
      <c r="AF26" s="1151"/>
      <c r="AG26" s="1151"/>
      <c r="AH26" s="1151"/>
      <c r="AI26" s="1151"/>
      <c r="AJ26" s="1151"/>
      <c r="AK26" s="1151"/>
      <c r="AL26" s="1151"/>
      <c r="AM26" s="1151"/>
      <c r="AN26" s="1151"/>
      <c r="AO26" s="1151"/>
      <c r="AP26" s="1148"/>
      <c r="AQ26" s="1148"/>
      <c r="AR26" s="1148"/>
      <c r="AS26" s="1148"/>
      <c r="AT26" s="1148"/>
      <c r="AU26" s="1148"/>
      <c r="AV26" s="1148"/>
      <c r="AW26" s="1148"/>
      <c r="AX26" s="1148"/>
      <c r="AY26" s="1148"/>
      <c r="AZ26" s="1148"/>
      <c r="BA26" s="1148"/>
      <c r="BB26" s="1148"/>
      <c r="BC26" s="1148"/>
      <c r="BD26" s="1147"/>
      <c r="BE26" s="1147"/>
      <c r="BF26" s="1148"/>
      <c r="BG26" s="1148"/>
      <c r="BH26" s="1148"/>
      <c r="BI26" s="1148"/>
      <c r="BJ26" s="1148"/>
      <c r="BK26" s="1148"/>
      <c r="BL26" s="1148"/>
      <c r="BM26" s="1148"/>
    </row>
    <row r="27" spans="1:254" x14ac:dyDescent="0.25">
      <c r="J27" s="1153"/>
      <c r="K27" s="883"/>
      <c r="L27" s="1050"/>
      <c r="M27" s="1049"/>
      <c r="N27" s="1050"/>
      <c r="O27" s="1050"/>
      <c r="P27" s="1050"/>
      <c r="Q27" s="1049"/>
      <c r="R27" s="1154"/>
      <c r="S27" s="1050"/>
      <c r="T27" s="883"/>
      <c r="U27" s="883"/>
      <c r="V27" s="1155"/>
    </row>
    <row r="28" spans="1:254" x14ac:dyDescent="0.25">
      <c r="J28" s="1153"/>
      <c r="K28" s="883"/>
      <c r="L28" s="1050"/>
      <c r="M28" s="2844" t="s">
        <v>1018</v>
      </c>
      <c r="N28" s="2844"/>
      <c r="O28" s="2844"/>
      <c r="P28" s="2844"/>
      <c r="Q28" s="2844"/>
      <c r="R28" s="2844"/>
      <c r="S28" s="2844"/>
      <c r="T28" s="883"/>
      <c r="U28" s="883"/>
      <c r="V28" s="1155"/>
    </row>
    <row r="29" spans="1:254" x14ac:dyDescent="0.25">
      <c r="J29" s="1153"/>
      <c r="K29" s="883"/>
      <c r="L29" s="1050"/>
      <c r="M29" s="2725" t="s">
        <v>1019</v>
      </c>
      <c r="N29" s="2725"/>
      <c r="O29" s="2725"/>
      <c r="P29" s="2725"/>
      <c r="Q29" s="2725"/>
      <c r="R29" s="2725"/>
      <c r="S29" s="2725"/>
      <c r="T29" s="883"/>
      <c r="U29" s="883"/>
      <c r="V29" s="1155"/>
    </row>
  </sheetData>
  <sheetProtection password="F3F4" sheet="1" objects="1" scenarios="1"/>
  <mergeCells count="121">
    <mergeCell ref="A23:Q23"/>
    <mergeCell ref="S23:U23"/>
    <mergeCell ref="M28:S28"/>
    <mergeCell ref="M29:S29"/>
    <mergeCell ref="AP19:AP21"/>
    <mergeCell ref="AQ19:AQ21"/>
    <mergeCell ref="J20:J21"/>
    <mergeCell ref="K20:K21"/>
    <mergeCell ref="L20:L21"/>
    <mergeCell ref="M20:M21"/>
    <mergeCell ref="Q20:Q21"/>
    <mergeCell ref="T20:T21"/>
    <mergeCell ref="U20:U21"/>
    <mergeCell ref="AJ19:AJ21"/>
    <mergeCell ref="AK19:AK21"/>
    <mergeCell ref="AL19:AL21"/>
    <mergeCell ref="AM19:AM21"/>
    <mergeCell ref="AN19:AN21"/>
    <mergeCell ref="AO19:AO21"/>
    <mergeCell ref="AD19:AD21"/>
    <mergeCell ref="AE19:AE21"/>
    <mergeCell ref="AF19:AF21"/>
    <mergeCell ref="AG19:AG21"/>
    <mergeCell ref="AH19:AH21"/>
    <mergeCell ref="AI19:AI21"/>
    <mergeCell ref="S19:S21"/>
    <mergeCell ref="Y19:Y21"/>
    <mergeCell ref="Z19:Z21"/>
    <mergeCell ref="AA19:AA21"/>
    <mergeCell ref="AB19:AB21"/>
    <mergeCell ref="AC19:AC21"/>
    <mergeCell ref="V16:V18"/>
    <mergeCell ref="W16:W18"/>
    <mergeCell ref="X16:X18"/>
    <mergeCell ref="T16:T18"/>
    <mergeCell ref="AA12:AA18"/>
    <mergeCell ref="AB12:AB18"/>
    <mergeCell ref="AC12:AC18"/>
    <mergeCell ref="AD12:AD18"/>
    <mergeCell ref="S12:S18"/>
    <mergeCell ref="T12:T13"/>
    <mergeCell ref="U12:U13"/>
    <mergeCell ref="U14:U15"/>
    <mergeCell ref="U16:U18"/>
    <mergeCell ref="B19:C19"/>
    <mergeCell ref="E19:F19"/>
    <mergeCell ref="H19:I19"/>
    <mergeCell ref="N19:N21"/>
    <mergeCell ref="O19:O21"/>
    <mergeCell ref="P19:P21"/>
    <mergeCell ref="R19:R21"/>
    <mergeCell ref="J16:J18"/>
    <mergeCell ref="K16:K18"/>
    <mergeCell ref="L16:L18"/>
    <mergeCell ref="M16:M18"/>
    <mergeCell ref="Q16:Q18"/>
    <mergeCell ref="P12:P18"/>
    <mergeCell ref="Q12:Q13"/>
    <mergeCell ref="R12:R18"/>
    <mergeCell ref="AQ12:AQ18"/>
    <mergeCell ref="B14:C14"/>
    <mergeCell ref="E14:F14"/>
    <mergeCell ref="H14:I14"/>
    <mergeCell ref="J14:J15"/>
    <mergeCell ref="K14:K15"/>
    <mergeCell ref="L14:L15"/>
    <mergeCell ref="M14:M15"/>
    <mergeCell ref="Q14:Q15"/>
    <mergeCell ref="T14:T15"/>
    <mergeCell ref="AK12:AK18"/>
    <mergeCell ref="AL12:AL18"/>
    <mergeCell ref="AM12:AM18"/>
    <mergeCell ref="AN12:AN18"/>
    <mergeCell ref="AO12:AO18"/>
    <mergeCell ref="AP12:AP18"/>
    <mergeCell ref="AE12:AE18"/>
    <mergeCell ref="AF12:AF18"/>
    <mergeCell ref="AG12:AG18"/>
    <mergeCell ref="AH12:AH18"/>
    <mergeCell ref="AI12:AI18"/>
    <mergeCell ref="AJ12:AJ18"/>
    <mergeCell ref="Y12:Y18"/>
    <mergeCell ref="Z12:Z18"/>
    <mergeCell ref="J12:J13"/>
    <mergeCell ref="K12:K13"/>
    <mergeCell ref="L12:L13"/>
    <mergeCell ref="M12:M13"/>
    <mergeCell ref="N12:N18"/>
    <mergeCell ref="O12:O18"/>
    <mergeCell ref="V7:V8"/>
    <mergeCell ref="X7:X8"/>
    <mergeCell ref="Y7:Z7"/>
    <mergeCell ref="P7:P8"/>
    <mergeCell ref="Q7:Q8"/>
    <mergeCell ref="R7:R8"/>
    <mergeCell ref="S7:S8"/>
    <mergeCell ref="T7:T8"/>
    <mergeCell ref="U7:U8"/>
    <mergeCell ref="J7:J8"/>
    <mergeCell ref="K7:K8"/>
    <mergeCell ref="L7:L8"/>
    <mergeCell ref="M7:M8"/>
    <mergeCell ref="N7:N8"/>
    <mergeCell ref="O7:O8"/>
    <mergeCell ref="A1:AO4"/>
    <mergeCell ref="A5:M6"/>
    <mergeCell ref="N5:AQ5"/>
    <mergeCell ref="Y6:AM6"/>
    <mergeCell ref="A7:A8"/>
    <mergeCell ref="B7:C8"/>
    <mergeCell ref="D7:D8"/>
    <mergeCell ref="E7:F8"/>
    <mergeCell ref="G7:G8"/>
    <mergeCell ref="H7:I8"/>
    <mergeCell ref="AN7:AN8"/>
    <mergeCell ref="AO7:AO8"/>
    <mergeCell ref="AP7:AP8"/>
    <mergeCell ref="AQ7:AQ8"/>
    <mergeCell ref="AA7:AD7"/>
    <mergeCell ref="AE7:AJ7"/>
    <mergeCell ref="AK7:AM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7"/>
  <sheetViews>
    <sheetView showGridLines="0" zoomScale="60" zoomScaleNormal="60" workbookViewId="0">
      <pane ySplit="8" topLeftCell="A9" activePane="bottomLeft" state="frozen"/>
      <selection pane="bottomLeft" activeCell="L20" sqref="L20"/>
    </sheetView>
  </sheetViews>
  <sheetFormatPr baseColWidth="10" defaultColWidth="11.42578125" defaultRowHeight="27" customHeight="1" x14ac:dyDescent="0.2"/>
  <cols>
    <col min="1" max="1" width="15.28515625" style="1483" customWidth="1"/>
    <col min="2" max="2" width="5.28515625" style="1306" customWidth="1"/>
    <col min="3" max="3" width="15.7109375" style="1306" customWidth="1"/>
    <col min="4" max="4" width="13.28515625" style="1306" customWidth="1"/>
    <col min="5" max="5" width="8.140625" style="1306" customWidth="1"/>
    <col min="6" max="6" width="14.28515625" style="1306" customWidth="1"/>
    <col min="7" max="7" width="14.7109375" style="1306" customWidth="1"/>
    <col min="8" max="8" width="6" style="1306" customWidth="1"/>
    <col min="9" max="9" width="18.42578125" style="1306" customWidth="1"/>
    <col min="10" max="10" width="17.85546875" style="1306" customWidth="1"/>
    <col min="11" max="11" width="33.7109375" style="1484" customWidth="1"/>
    <col min="12" max="12" width="23.42578125" style="1305" customWidth="1"/>
    <col min="13" max="13" width="12.85546875" style="1305" customWidth="1"/>
    <col min="14" max="14" width="46" style="1305" customWidth="1"/>
    <col min="15" max="15" width="25.28515625" style="1420" customWidth="1"/>
    <col min="16" max="16" width="31.28515625" style="1484" customWidth="1"/>
    <col min="17" max="17" width="12.7109375" style="1486" customWidth="1"/>
    <col min="18" max="18" width="35.42578125" style="1487" customWidth="1"/>
    <col min="19" max="19" width="39.140625" style="1484" customWidth="1"/>
    <col min="20" max="20" width="53.140625" style="1484" customWidth="1"/>
    <col min="21" max="21" width="43.7109375" style="1484" customWidth="1"/>
    <col min="22" max="22" width="33" style="1488" customWidth="1"/>
    <col min="23" max="23" width="13.5703125" style="1489" customWidth="1"/>
    <col min="24" max="24" width="34.140625" style="1490" customWidth="1"/>
    <col min="25" max="25" width="12" style="1306" customWidth="1"/>
    <col min="26" max="26" width="10.85546875" style="1306" bestFit="1" customWidth="1"/>
    <col min="27" max="27" width="10.28515625" style="1306" customWidth="1"/>
    <col min="28" max="28" width="9.42578125" style="1306" customWidth="1"/>
    <col min="29" max="29" width="11.7109375" style="1306" customWidth="1"/>
    <col min="30" max="30" width="9.85546875" style="1306" customWidth="1"/>
    <col min="31" max="37" width="8.42578125" style="1306" customWidth="1"/>
    <col min="38" max="38" width="9" style="1306" bestFit="1" customWidth="1"/>
    <col min="39" max="39" width="8.85546875" style="1306" customWidth="1"/>
    <col min="40" max="40" width="10.85546875" style="1306" bestFit="1" customWidth="1"/>
    <col min="41" max="41" width="11.5703125" style="1491" customWidth="1"/>
    <col min="42" max="42" width="24.7109375" style="1492" customWidth="1"/>
    <col min="43" max="43" width="24.85546875" style="1493" customWidth="1"/>
    <col min="44" max="44" width="28.140625" style="1306" customWidth="1"/>
    <col min="45" max="16384" width="11.42578125" style="1306"/>
  </cols>
  <sheetData>
    <row r="1" spans="1:63" ht="21" customHeight="1" x14ac:dyDescent="0.2">
      <c r="A1" s="2855" t="s">
        <v>1144</v>
      </c>
      <c r="B1" s="2856"/>
      <c r="C1" s="2856"/>
      <c r="D1" s="2856"/>
      <c r="E1" s="2856"/>
      <c r="F1" s="2856"/>
      <c r="G1" s="2856"/>
      <c r="H1" s="2856"/>
      <c r="I1" s="2856"/>
      <c r="J1" s="2856"/>
      <c r="K1" s="2856"/>
      <c r="L1" s="2856"/>
      <c r="M1" s="2856"/>
      <c r="N1" s="2856"/>
      <c r="O1" s="2856"/>
      <c r="P1" s="2856"/>
      <c r="Q1" s="2856"/>
      <c r="R1" s="2856"/>
      <c r="S1" s="2856"/>
      <c r="T1" s="2856"/>
      <c r="U1" s="2856"/>
      <c r="V1" s="2856"/>
      <c r="W1" s="2856"/>
      <c r="X1" s="2856"/>
      <c r="Y1" s="2856"/>
      <c r="Z1" s="2856"/>
      <c r="AA1" s="2856"/>
      <c r="AB1" s="2856"/>
      <c r="AC1" s="2856"/>
      <c r="AD1" s="2856"/>
      <c r="AE1" s="2856"/>
      <c r="AF1" s="2856"/>
      <c r="AG1" s="2856"/>
      <c r="AH1" s="2856"/>
      <c r="AI1" s="2856"/>
      <c r="AJ1" s="2856"/>
      <c r="AK1" s="2856"/>
      <c r="AL1" s="2856"/>
      <c r="AM1" s="2856"/>
      <c r="AN1" s="2856"/>
      <c r="AO1" s="2856"/>
      <c r="AP1" s="1304" t="s">
        <v>1</v>
      </c>
      <c r="AQ1" s="1304" t="s">
        <v>122</v>
      </c>
      <c r="AR1" s="1305"/>
      <c r="AS1" s="1305"/>
      <c r="AT1" s="1305"/>
      <c r="AU1" s="1305"/>
      <c r="AV1" s="1305"/>
      <c r="AW1" s="1305"/>
      <c r="AX1" s="1305"/>
      <c r="AY1" s="1305"/>
      <c r="AZ1" s="1305"/>
      <c r="BA1" s="1305"/>
      <c r="BB1" s="1305"/>
      <c r="BC1" s="1305"/>
      <c r="BD1" s="1305"/>
      <c r="BE1" s="1305"/>
      <c r="BF1" s="1305"/>
      <c r="BG1" s="1305"/>
      <c r="BH1" s="1305"/>
      <c r="BI1" s="1305"/>
      <c r="BJ1" s="1305"/>
      <c r="BK1" s="1305"/>
    </row>
    <row r="2" spans="1:63" ht="27" customHeight="1" x14ac:dyDescent="0.2">
      <c r="A2" s="2857"/>
      <c r="B2" s="2858"/>
      <c r="C2" s="2858"/>
      <c r="D2" s="2858"/>
      <c r="E2" s="2858"/>
      <c r="F2" s="2858"/>
      <c r="G2" s="2858"/>
      <c r="H2" s="2858"/>
      <c r="I2" s="2858"/>
      <c r="J2" s="2858"/>
      <c r="K2" s="2858"/>
      <c r="L2" s="2858"/>
      <c r="M2" s="2858"/>
      <c r="N2" s="2858"/>
      <c r="O2" s="2858"/>
      <c r="P2" s="2858"/>
      <c r="Q2" s="2858"/>
      <c r="R2" s="2858"/>
      <c r="S2" s="2858"/>
      <c r="T2" s="2858"/>
      <c r="U2" s="2858"/>
      <c r="V2" s="2858"/>
      <c r="W2" s="2858"/>
      <c r="X2" s="2858"/>
      <c r="Y2" s="2858"/>
      <c r="Z2" s="2858"/>
      <c r="AA2" s="2858"/>
      <c r="AB2" s="2858"/>
      <c r="AC2" s="2858"/>
      <c r="AD2" s="2858"/>
      <c r="AE2" s="2858"/>
      <c r="AF2" s="2858"/>
      <c r="AG2" s="2858"/>
      <c r="AH2" s="2858"/>
      <c r="AI2" s="2858"/>
      <c r="AJ2" s="2858"/>
      <c r="AK2" s="2858"/>
      <c r="AL2" s="2858"/>
      <c r="AM2" s="2858"/>
      <c r="AN2" s="2858"/>
      <c r="AO2" s="2858"/>
      <c r="AP2" s="1307" t="s">
        <v>3</v>
      </c>
      <c r="AQ2" s="1304" t="s">
        <v>123</v>
      </c>
      <c r="AR2" s="1305"/>
      <c r="AS2" s="1305"/>
      <c r="AT2" s="1305"/>
      <c r="AU2" s="1305"/>
      <c r="AV2" s="1305"/>
      <c r="AW2" s="1305"/>
      <c r="AX2" s="1305"/>
      <c r="AY2" s="1305"/>
      <c r="AZ2" s="1305"/>
      <c r="BA2" s="1305"/>
      <c r="BB2" s="1305"/>
      <c r="BC2" s="1305"/>
      <c r="BD2" s="1305"/>
      <c r="BE2" s="1305"/>
      <c r="BF2" s="1305"/>
      <c r="BG2" s="1305"/>
      <c r="BH2" s="1305"/>
      <c r="BI2" s="1305"/>
      <c r="BJ2" s="1305"/>
      <c r="BK2" s="1305"/>
    </row>
    <row r="3" spans="1:63" ht="14.25" customHeight="1" x14ac:dyDescent="0.2">
      <c r="A3" s="2857"/>
      <c r="B3" s="2858"/>
      <c r="C3" s="2858"/>
      <c r="D3" s="2858"/>
      <c r="E3" s="2858"/>
      <c r="F3" s="2858"/>
      <c r="G3" s="2858"/>
      <c r="H3" s="2858"/>
      <c r="I3" s="2858"/>
      <c r="J3" s="2858"/>
      <c r="K3" s="2858"/>
      <c r="L3" s="2858"/>
      <c r="M3" s="2858"/>
      <c r="N3" s="2858"/>
      <c r="O3" s="2858"/>
      <c r="P3" s="2858"/>
      <c r="Q3" s="2858"/>
      <c r="R3" s="2858"/>
      <c r="S3" s="2858"/>
      <c r="T3" s="2858"/>
      <c r="U3" s="2858"/>
      <c r="V3" s="2858"/>
      <c r="W3" s="2858"/>
      <c r="X3" s="2858"/>
      <c r="Y3" s="2858"/>
      <c r="Z3" s="2858"/>
      <c r="AA3" s="2858"/>
      <c r="AB3" s="2858"/>
      <c r="AC3" s="2858"/>
      <c r="AD3" s="2858"/>
      <c r="AE3" s="2858"/>
      <c r="AF3" s="2858"/>
      <c r="AG3" s="2858"/>
      <c r="AH3" s="2858"/>
      <c r="AI3" s="2858"/>
      <c r="AJ3" s="2858"/>
      <c r="AK3" s="2858"/>
      <c r="AL3" s="2858"/>
      <c r="AM3" s="2858"/>
      <c r="AN3" s="2858"/>
      <c r="AO3" s="2858"/>
      <c r="AP3" s="1304" t="s">
        <v>5</v>
      </c>
      <c r="AQ3" s="1308" t="s">
        <v>6</v>
      </c>
      <c r="AR3" s="1305"/>
      <c r="AS3" s="1305"/>
      <c r="AT3" s="1305"/>
      <c r="AU3" s="1305"/>
      <c r="AV3" s="1305"/>
      <c r="AW3" s="1305"/>
      <c r="AX3" s="1305"/>
      <c r="AY3" s="1305"/>
      <c r="AZ3" s="1305"/>
      <c r="BA3" s="1305"/>
      <c r="BB3" s="1305"/>
      <c r="BC3" s="1305"/>
      <c r="BD3" s="1305"/>
      <c r="BE3" s="1305"/>
      <c r="BF3" s="1305"/>
      <c r="BG3" s="1305"/>
      <c r="BH3" s="1305"/>
      <c r="BI3" s="1305"/>
      <c r="BJ3" s="1305"/>
      <c r="BK3" s="1305"/>
    </row>
    <row r="4" spans="1:63" ht="19.5" customHeight="1" x14ac:dyDescent="0.2">
      <c r="A4" s="2859"/>
      <c r="B4" s="2860"/>
      <c r="C4" s="2860"/>
      <c r="D4" s="2860"/>
      <c r="E4" s="2860"/>
      <c r="F4" s="2860"/>
      <c r="G4" s="2860"/>
      <c r="H4" s="2860"/>
      <c r="I4" s="2860"/>
      <c r="J4" s="2860"/>
      <c r="K4" s="2860"/>
      <c r="L4" s="2860"/>
      <c r="M4" s="2860"/>
      <c r="N4" s="2860"/>
      <c r="O4" s="2860"/>
      <c r="P4" s="2860"/>
      <c r="Q4" s="2860"/>
      <c r="R4" s="2860"/>
      <c r="S4" s="2860"/>
      <c r="T4" s="2860"/>
      <c r="U4" s="2860"/>
      <c r="V4" s="2860"/>
      <c r="W4" s="2860"/>
      <c r="X4" s="2860"/>
      <c r="Y4" s="2860"/>
      <c r="Z4" s="2860"/>
      <c r="AA4" s="2860"/>
      <c r="AB4" s="2860"/>
      <c r="AC4" s="2860"/>
      <c r="AD4" s="2860"/>
      <c r="AE4" s="2860"/>
      <c r="AF4" s="2860"/>
      <c r="AG4" s="2860"/>
      <c r="AH4" s="2860"/>
      <c r="AI4" s="2860"/>
      <c r="AJ4" s="2860"/>
      <c r="AK4" s="2860"/>
      <c r="AL4" s="2860"/>
      <c r="AM4" s="2860"/>
      <c r="AN4" s="2860"/>
      <c r="AO4" s="2860"/>
      <c r="AP4" s="1304" t="s">
        <v>7</v>
      </c>
      <c r="AQ4" s="1309" t="s">
        <v>8</v>
      </c>
      <c r="AR4" s="1305"/>
      <c r="AS4" s="1305"/>
      <c r="AT4" s="1305"/>
      <c r="AU4" s="1305"/>
      <c r="AV4" s="1305"/>
      <c r="AW4" s="1305"/>
      <c r="AX4" s="1305"/>
      <c r="AY4" s="1305"/>
      <c r="AZ4" s="1305"/>
      <c r="BA4" s="1305"/>
      <c r="BB4" s="1305"/>
      <c r="BC4" s="1305"/>
      <c r="BD4" s="1305"/>
      <c r="BE4" s="1305"/>
      <c r="BF4" s="1305"/>
      <c r="BG4" s="1305"/>
      <c r="BH4" s="1305"/>
      <c r="BI4" s="1305"/>
      <c r="BJ4" s="1305"/>
      <c r="BK4" s="1305"/>
    </row>
    <row r="5" spans="1:63" ht="27" customHeight="1" x14ac:dyDescent="0.2">
      <c r="A5" s="2861" t="s">
        <v>9</v>
      </c>
      <c r="B5" s="2861"/>
      <c r="C5" s="2861"/>
      <c r="D5" s="2861"/>
      <c r="E5" s="2861"/>
      <c r="F5" s="2861"/>
      <c r="G5" s="2861"/>
      <c r="H5" s="2861"/>
      <c r="I5" s="2861"/>
      <c r="J5" s="2861"/>
      <c r="K5" s="2861"/>
      <c r="L5" s="2861"/>
      <c r="M5" s="2861"/>
      <c r="N5" s="2863" t="s">
        <v>10</v>
      </c>
      <c r="O5" s="2864"/>
      <c r="P5" s="2864"/>
      <c r="Q5" s="2864"/>
      <c r="R5" s="2864"/>
      <c r="S5" s="2864"/>
      <c r="T5" s="2864"/>
      <c r="U5" s="2864"/>
      <c r="V5" s="2864"/>
      <c r="W5" s="2864"/>
      <c r="X5" s="2864"/>
      <c r="Y5" s="2864"/>
      <c r="Z5" s="2864"/>
      <c r="AA5" s="2864"/>
      <c r="AB5" s="2864"/>
      <c r="AC5" s="2864"/>
      <c r="AD5" s="2864"/>
      <c r="AE5" s="2864"/>
      <c r="AF5" s="2864"/>
      <c r="AG5" s="2864"/>
      <c r="AH5" s="2864"/>
      <c r="AI5" s="2864"/>
      <c r="AJ5" s="2864"/>
      <c r="AK5" s="2864"/>
      <c r="AL5" s="2864"/>
      <c r="AM5" s="2864"/>
      <c r="AN5" s="2864"/>
      <c r="AO5" s="2864"/>
      <c r="AP5" s="2864"/>
      <c r="AQ5" s="2865"/>
      <c r="AR5" s="1305"/>
      <c r="AS5" s="1305"/>
      <c r="AT5" s="1305"/>
      <c r="AU5" s="1305"/>
      <c r="AV5" s="1305"/>
      <c r="AW5" s="1305"/>
      <c r="AX5" s="1305"/>
      <c r="AY5" s="1305"/>
      <c r="AZ5" s="1305"/>
      <c r="BA5" s="1305"/>
      <c r="BB5" s="1305"/>
      <c r="BC5" s="1305"/>
      <c r="BD5" s="1305"/>
      <c r="BE5" s="1305"/>
      <c r="BF5" s="1305"/>
      <c r="BG5" s="1305"/>
      <c r="BH5" s="1305"/>
      <c r="BI5" s="1305"/>
      <c r="BJ5" s="1305"/>
      <c r="BK5" s="1305"/>
    </row>
    <row r="6" spans="1:63" ht="27" customHeight="1" x14ac:dyDescent="0.2">
      <c r="A6" s="2862"/>
      <c r="B6" s="2862"/>
      <c r="C6" s="2862"/>
      <c r="D6" s="2862"/>
      <c r="E6" s="2862"/>
      <c r="F6" s="2862"/>
      <c r="G6" s="2862"/>
      <c r="H6" s="2862"/>
      <c r="I6" s="2862"/>
      <c r="J6" s="2862"/>
      <c r="K6" s="2862"/>
      <c r="L6" s="2862"/>
      <c r="M6" s="2862"/>
      <c r="N6" s="1310"/>
      <c r="O6" s="1311"/>
      <c r="P6" s="1311"/>
      <c r="Q6" s="1311"/>
      <c r="R6" s="1311"/>
      <c r="S6" s="1311"/>
      <c r="T6" s="1311"/>
      <c r="U6" s="1311"/>
      <c r="V6" s="1312"/>
      <c r="W6" s="1311"/>
      <c r="X6" s="1311"/>
      <c r="Y6" s="2866" t="s">
        <v>11</v>
      </c>
      <c r="Z6" s="2862"/>
      <c r="AA6" s="2862"/>
      <c r="AB6" s="2862"/>
      <c r="AC6" s="2862"/>
      <c r="AD6" s="2862"/>
      <c r="AE6" s="2862"/>
      <c r="AF6" s="2862"/>
      <c r="AG6" s="2862"/>
      <c r="AH6" s="2862"/>
      <c r="AI6" s="2862"/>
      <c r="AJ6" s="2862"/>
      <c r="AK6" s="2862"/>
      <c r="AL6" s="2862"/>
      <c r="AM6" s="2867"/>
      <c r="AN6" s="1313"/>
      <c r="AO6" s="1311"/>
      <c r="AP6" s="1311"/>
      <c r="AQ6" s="1314"/>
      <c r="AR6" s="1305"/>
      <c r="AS6" s="1305"/>
      <c r="AT6" s="1305"/>
      <c r="AU6" s="1305"/>
      <c r="AV6" s="1305"/>
      <c r="AW6" s="1305"/>
      <c r="AX6" s="1305"/>
      <c r="AY6" s="1305"/>
      <c r="AZ6" s="1305"/>
      <c r="BA6" s="1305"/>
      <c r="BB6" s="1305"/>
      <c r="BC6" s="1305"/>
      <c r="BD6" s="1305"/>
      <c r="BE6" s="1305"/>
      <c r="BF6" s="1305"/>
      <c r="BG6" s="1305"/>
      <c r="BH6" s="1305"/>
      <c r="BI6" s="1305"/>
      <c r="BJ6" s="1305"/>
      <c r="BK6" s="1305"/>
    </row>
    <row r="7" spans="1:63" ht="40.5" customHeight="1" x14ac:dyDescent="0.2">
      <c r="A7" s="2868" t="s">
        <v>12</v>
      </c>
      <c r="B7" s="2870" t="s">
        <v>13</v>
      </c>
      <c r="C7" s="2871"/>
      <c r="D7" s="2871" t="s">
        <v>12</v>
      </c>
      <c r="E7" s="2870" t="s">
        <v>14</v>
      </c>
      <c r="F7" s="2871"/>
      <c r="G7" s="2871" t="s">
        <v>12</v>
      </c>
      <c r="H7" s="2870" t="s">
        <v>15</v>
      </c>
      <c r="I7" s="2871"/>
      <c r="J7" s="2871" t="s">
        <v>12</v>
      </c>
      <c r="K7" s="2927" t="s">
        <v>16</v>
      </c>
      <c r="L7" s="2852" t="s">
        <v>17</v>
      </c>
      <c r="M7" s="2852" t="s">
        <v>18</v>
      </c>
      <c r="N7" s="2852" t="s">
        <v>19</v>
      </c>
      <c r="O7" s="2852" t="s">
        <v>20</v>
      </c>
      <c r="P7" s="2852" t="s">
        <v>10</v>
      </c>
      <c r="Q7" s="2923" t="s">
        <v>21</v>
      </c>
      <c r="R7" s="2925" t="s">
        <v>22</v>
      </c>
      <c r="S7" s="2927" t="s">
        <v>23</v>
      </c>
      <c r="T7" s="2870" t="s">
        <v>24</v>
      </c>
      <c r="U7" s="2852" t="s">
        <v>25</v>
      </c>
      <c r="V7" s="2913" t="s">
        <v>22</v>
      </c>
      <c r="W7" s="1315"/>
      <c r="X7" s="2852" t="s">
        <v>26</v>
      </c>
      <c r="Y7" s="2915" t="s">
        <v>27</v>
      </c>
      <c r="Z7" s="2916"/>
      <c r="AA7" s="2917" t="s">
        <v>28</v>
      </c>
      <c r="AB7" s="2918"/>
      <c r="AC7" s="2918"/>
      <c r="AD7" s="2919"/>
      <c r="AE7" s="2920" t="s">
        <v>29</v>
      </c>
      <c r="AF7" s="2921"/>
      <c r="AG7" s="2921"/>
      <c r="AH7" s="2921"/>
      <c r="AI7" s="2921"/>
      <c r="AJ7" s="2922"/>
      <c r="AK7" s="2917" t="s">
        <v>30</v>
      </c>
      <c r="AL7" s="2918"/>
      <c r="AM7" s="2919"/>
      <c r="AN7" s="2874" t="s">
        <v>31</v>
      </c>
      <c r="AO7" s="2876" t="s">
        <v>32</v>
      </c>
      <c r="AP7" s="2876" t="s">
        <v>33</v>
      </c>
      <c r="AQ7" s="2878" t="s">
        <v>34</v>
      </c>
      <c r="AR7" s="1305"/>
      <c r="AS7" s="1305"/>
      <c r="AT7" s="1305"/>
      <c r="AU7" s="1305"/>
      <c r="AV7" s="1305"/>
      <c r="AW7" s="1305"/>
      <c r="AX7" s="1305"/>
      <c r="AY7" s="1305"/>
      <c r="AZ7" s="1305"/>
      <c r="BA7" s="1305"/>
      <c r="BB7" s="1305"/>
      <c r="BC7" s="1305"/>
      <c r="BD7" s="1305"/>
      <c r="BE7" s="1305"/>
      <c r="BF7" s="1305"/>
      <c r="BG7" s="1305"/>
      <c r="BH7" s="1305"/>
      <c r="BI7" s="1305"/>
      <c r="BJ7" s="1305"/>
      <c r="BK7" s="1305"/>
    </row>
    <row r="8" spans="1:63" ht="117.75" customHeight="1" x14ac:dyDescent="0.2">
      <c r="A8" s="2869"/>
      <c r="B8" s="2872"/>
      <c r="C8" s="2873"/>
      <c r="D8" s="2873"/>
      <c r="E8" s="2872"/>
      <c r="F8" s="2873"/>
      <c r="G8" s="2873"/>
      <c r="H8" s="2872"/>
      <c r="I8" s="2873"/>
      <c r="J8" s="2873"/>
      <c r="K8" s="2928"/>
      <c r="L8" s="2853"/>
      <c r="M8" s="2854"/>
      <c r="N8" s="2853"/>
      <c r="O8" s="2853"/>
      <c r="P8" s="2853"/>
      <c r="Q8" s="2924"/>
      <c r="R8" s="2926"/>
      <c r="S8" s="2928"/>
      <c r="T8" s="2872"/>
      <c r="U8" s="2853"/>
      <c r="V8" s="2914"/>
      <c r="W8" s="1316" t="s">
        <v>12</v>
      </c>
      <c r="X8" s="2853"/>
      <c r="Y8" s="1317" t="s">
        <v>35</v>
      </c>
      <c r="Z8" s="1318" t="s">
        <v>36</v>
      </c>
      <c r="AA8" s="1319" t="s">
        <v>37</v>
      </c>
      <c r="AB8" s="1319" t="s">
        <v>125</v>
      </c>
      <c r="AC8" s="1319" t="s">
        <v>126</v>
      </c>
      <c r="AD8" s="1319" t="s">
        <v>127</v>
      </c>
      <c r="AE8" s="1319" t="s">
        <v>41</v>
      </c>
      <c r="AF8" s="1319" t="s">
        <v>42</v>
      </c>
      <c r="AG8" s="1319" t="s">
        <v>43</v>
      </c>
      <c r="AH8" s="1319" t="s">
        <v>44</v>
      </c>
      <c r="AI8" s="1319" t="s">
        <v>45</v>
      </c>
      <c r="AJ8" s="1319" t="s">
        <v>46</v>
      </c>
      <c r="AK8" s="1319" t="s">
        <v>47</v>
      </c>
      <c r="AL8" s="1319" t="s">
        <v>48</v>
      </c>
      <c r="AM8" s="1319" t="s">
        <v>49</v>
      </c>
      <c r="AN8" s="2875"/>
      <c r="AO8" s="2877"/>
      <c r="AP8" s="2877"/>
      <c r="AQ8" s="2879"/>
      <c r="AR8" s="1305"/>
      <c r="AS8" s="1305"/>
      <c r="AT8" s="1305"/>
      <c r="AU8" s="1305"/>
      <c r="AV8" s="1305"/>
      <c r="AW8" s="1305"/>
      <c r="AX8" s="1305"/>
      <c r="AY8" s="1305"/>
      <c r="AZ8" s="1305"/>
      <c r="BA8" s="1305"/>
      <c r="BB8" s="1305"/>
      <c r="BC8" s="1305"/>
      <c r="BD8" s="1305"/>
      <c r="BE8" s="1305"/>
      <c r="BF8" s="1305"/>
      <c r="BG8" s="1305"/>
      <c r="BH8" s="1305"/>
      <c r="BI8" s="1305"/>
      <c r="BJ8" s="1305"/>
      <c r="BK8" s="1305"/>
    </row>
    <row r="9" spans="1:63" ht="27" customHeight="1" x14ac:dyDescent="0.2">
      <c r="A9" s="1320">
        <v>1</v>
      </c>
      <c r="B9" s="1321" t="s">
        <v>128</v>
      </c>
      <c r="C9" s="1321"/>
      <c r="D9" s="1321"/>
      <c r="E9" s="1321"/>
      <c r="F9" s="1321"/>
      <c r="G9" s="1321"/>
      <c r="H9" s="1321"/>
      <c r="I9" s="1321"/>
      <c r="J9" s="1321"/>
      <c r="K9" s="1322"/>
      <c r="L9" s="1321"/>
      <c r="M9" s="1321"/>
      <c r="N9" s="1321"/>
      <c r="O9" s="1323"/>
      <c r="P9" s="1322"/>
      <c r="Q9" s="1324"/>
      <c r="R9" s="1325"/>
      <c r="S9" s="1322"/>
      <c r="T9" s="1322"/>
      <c r="U9" s="1322"/>
      <c r="V9" s="1326"/>
      <c r="W9" s="1327"/>
      <c r="X9" s="1323"/>
      <c r="Y9" s="1321"/>
      <c r="Z9" s="1321"/>
      <c r="AA9" s="1321"/>
      <c r="AB9" s="1321"/>
      <c r="AC9" s="1321"/>
      <c r="AD9" s="1321"/>
      <c r="AE9" s="1321"/>
      <c r="AF9" s="1321"/>
      <c r="AG9" s="1321"/>
      <c r="AH9" s="1321"/>
      <c r="AI9" s="1321"/>
      <c r="AJ9" s="1321"/>
      <c r="AK9" s="1321"/>
      <c r="AL9" s="1321"/>
      <c r="AM9" s="1321"/>
      <c r="AN9" s="1321"/>
      <c r="AO9" s="1328"/>
      <c r="AP9" s="1328"/>
      <c r="AQ9" s="1329"/>
      <c r="AR9" s="1305"/>
      <c r="AS9" s="1305"/>
      <c r="AT9" s="1305"/>
      <c r="AU9" s="1305"/>
      <c r="AV9" s="1305"/>
      <c r="AW9" s="1305"/>
      <c r="AX9" s="1305"/>
      <c r="AY9" s="1305"/>
      <c r="AZ9" s="1305"/>
      <c r="BA9" s="1305"/>
      <c r="BB9" s="1305"/>
      <c r="BC9" s="1305"/>
      <c r="BD9" s="1305"/>
      <c r="BE9" s="1305"/>
      <c r="BF9" s="1305"/>
      <c r="BG9" s="1305"/>
      <c r="BH9" s="1305"/>
      <c r="BI9" s="1305"/>
      <c r="BJ9" s="1305"/>
      <c r="BK9" s="1305"/>
    </row>
    <row r="10" spans="1:63" s="1305" customFormat="1" ht="27" customHeight="1" x14ac:dyDescent="0.2">
      <c r="A10" s="2880"/>
      <c r="B10" s="2881"/>
      <c r="C10" s="2882"/>
      <c r="D10" s="1330">
        <v>1</v>
      </c>
      <c r="E10" s="1331" t="s">
        <v>1145</v>
      </c>
      <c r="F10" s="1331"/>
      <c r="G10" s="1331"/>
      <c r="H10" s="1332"/>
      <c r="I10" s="1333"/>
      <c r="J10" s="1331"/>
      <c r="K10" s="1334"/>
      <c r="L10" s="1331"/>
      <c r="M10" s="1331"/>
      <c r="N10" s="1331"/>
      <c r="O10" s="1335"/>
      <c r="P10" s="1334"/>
      <c r="Q10" s="1336"/>
      <c r="R10" s="1337"/>
      <c r="S10" s="1334"/>
      <c r="T10" s="1334"/>
      <c r="U10" s="1334"/>
      <c r="V10" s="1338"/>
      <c r="W10" s="1330"/>
      <c r="X10" s="1335"/>
      <c r="Y10" s="1331"/>
      <c r="Z10" s="1331"/>
      <c r="AA10" s="1331"/>
      <c r="AB10" s="1331"/>
      <c r="AC10" s="1331"/>
      <c r="AD10" s="1331"/>
      <c r="AE10" s="1331"/>
      <c r="AF10" s="1331"/>
      <c r="AG10" s="1331"/>
      <c r="AH10" s="1331"/>
      <c r="AI10" s="1331"/>
      <c r="AJ10" s="1331"/>
      <c r="AK10" s="1331"/>
      <c r="AL10" s="1331"/>
      <c r="AM10" s="1331"/>
      <c r="AN10" s="1331"/>
      <c r="AO10" s="1339"/>
      <c r="AP10" s="1339"/>
      <c r="AQ10" s="1334"/>
    </row>
    <row r="11" spans="1:63" s="1305" customFormat="1" ht="27" customHeight="1" x14ac:dyDescent="0.2">
      <c r="A11" s="2883"/>
      <c r="B11" s="2884"/>
      <c r="C11" s="2885"/>
      <c r="D11" s="2889"/>
      <c r="E11" s="2890"/>
      <c r="F11" s="2891"/>
      <c r="G11" s="1340">
        <v>2</v>
      </c>
      <c r="H11" s="1341" t="s">
        <v>1146</v>
      </c>
      <c r="I11" s="1341"/>
      <c r="J11" s="1341"/>
      <c r="K11" s="1342"/>
      <c r="L11" s="1341"/>
      <c r="M11" s="1341"/>
      <c r="N11" s="1341"/>
      <c r="O11" s="1343"/>
      <c r="P11" s="1342"/>
      <c r="Q11" s="1344"/>
      <c r="R11" s="1345"/>
      <c r="S11" s="1342"/>
      <c r="T11" s="1342"/>
      <c r="U11" s="1342"/>
      <c r="V11" s="1346"/>
      <c r="W11" s="1347"/>
      <c r="X11" s="1343"/>
      <c r="Y11" s="1341"/>
      <c r="Z11" s="1341"/>
      <c r="AA11" s="1341"/>
      <c r="AB11" s="1341"/>
      <c r="AC11" s="1341"/>
      <c r="AD11" s="1341"/>
      <c r="AE11" s="1341"/>
      <c r="AF11" s="1341"/>
      <c r="AG11" s="1341"/>
      <c r="AH11" s="1341"/>
      <c r="AI11" s="1341"/>
      <c r="AJ11" s="1341"/>
      <c r="AK11" s="1341"/>
      <c r="AL11" s="1341"/>
      <c r="AM11" s="1341"/>
      <c r="AN11" s="1341"/>
      <c r="AO11" s="1348"/>
      <c r="AP11" s="1348"/>
      <c r="AQ11" s="1342"/>
    </row>
    <row r="12" spans="1:63" s="1305" customFormat="1" ht="15" x14ac:dyDescent="0.2">
      <c r="A12" s="2883"/>
      <c r="B12" s="2884"/>
      <c r="C12" s="2885"/>
      <c r="D12" s="2892"/>
      <c r="E12" s="2893"/>
      <c r="F12" s="2894"/>
      <c r="G12" s="2898"/>
      <c r="H12" s="2899"/>
      <c r="I12" s="2900"/>
      <c r="J12" s="2907">
        <v>9</v>
      </c>
      <c r="K12" s="2910" t="s">
        <v>1147</v>
      </c>
      <c r="L12" s="2910" t="s">
        <v>1148</v>
      </c>
      <c r="M12" s="2907">
        <v>5</v>
      </c>
      <c r="N12" s="2907" t="s">
        <v>1149</v>
      </c>
      <c r="O12" s="2935" t="s">
        <v>1150</v>
      </c>
      <c r="P12" s="2910" t="s">
        <v>1151</v>
      </c>
      <c r="Q12" s="2938">
        <f>(V12+V15)/R12</f>
        <v>0.82416898087858725</v>
      </c>
      <c r="R12" s="2941">
        <f>SUM(V12:V15)</f>
        <v>2440979994</v>
      </c>
      <c r="S12" s="2935" t="s">
        <v>1152</v>
      </c>
      <c r="T12" s="2950" t="s">
        <v>1153</v>
      </c>
      <c r="U12" s="2929" t="s">
        <v>1154</v>
      </c>
      <c r="V12" s="1349">
        <f>2000000000</f>
        <v>2000000000</v>
      </c>
      <c r="W12" s="1350" t="s">
        <v>1155</v>
      </c>
      <c r="X12" s="1351" t="s">
        <v>1156</v>
      </c>
      <c r="Y12" s="2932">
        <v>294321</v>
      </c>
      <c r="Z12" s="2932">
        <v>283947</v>
      </c>
      <c r="AA12" s="2932">
        <v>135754</v>
      </c>
      <c r="AB12" s="2932">
        <v>44640</v>
      </c>
      <c r="AC12" s="2932">
        <v>308178</v>
      </c>
      <c r="AD12" s="2932">
        <v>89696</v>
      </c>
      <c r="AE12" s="2932">
        <v>2145</v>
      </c>
      <c r="AF12" s="2932">
        <v>12718</v>
      </c>
      <c r="AG12" s="2932">
        <v>26</v>
      </c>
      <c r="AH12" s="2932">
        <v>37</v>
      </c>
      <c r="AI12" s="2932"/>
      <c r="AJ12" s="2932">
        <v>0</v>
      </c>
      <c r="AK12" s="2932">
        <v>54612</v>
      </c>
      <c r="AL12" s="2932">
        <v>21944</v>
      </c>
      <c r="AM12" s="2932">
        <v>1010</v>
      </c>
      <c r="AN12" s="2932">
        <v>578268</v>
      </c>
      <c r="AO12" s="2944">
        <v>43466</v>
      </c>
      <c r="AP12" s="2944">
        <v>43830</v>
      </c>
      <c r="AQ12" s="2947" t="s">
        <v>1157</v>
      </c>
    </row>
    <row r="13" spans="1:63" s="1305" customFormat="1" ht="30" x14ac:dyDescent="0.2">
      <c r="A13" s="2883"/>
      <c r="B13" s="2884"/>
      <c r="C13" s="2885"/>
      <c r="D13" s="2892"/>
      <c r="E13" s="2893"/>
      <c r="F13" s="2894"/>
      <c r="G13" s="2901"/>
      <c r="H13" s="2902"/>
      <c r="I13" s="2903"/>
      <c r="J13" s="2908"/>
      <c r="K13" s="2911"/>
      <c r="L13" s="2911"/>
      <c r="M13" s="2908"/>
      <c r="N13" s="2908"/>
      <c r="O13" s="2936"/>
      <c r="P13" s="2911"/>
      <c r="Q13" s="2939"/>
      <c r="R13" s="2942"/>
      <c r="S13" s="2936"/>
      <c r="T13" s="2951"/>
      <c r="U13" s="2930"/>
      <c r="V13" s="1349">
        <v>4200000</v>
      </c>
      <c r="W13" s="1352">
        <v>27</v>
      </c>
      <c r="X13" s="1351" t="s">
        <v>1158</v>
      </c>
      <c r="Y13" s="2933"/>
      <c r="Z13" s="2933"/>
      <c r="AA13" s="2933"/>
      <c r="AB13" s="2933"/>
      <c r="AC13" s="2933"/>
      <c r="AD13" s="2933"/>
      <c r="AE13" s="2933"/>
      <c r="AF13" s="2933"/>
      <c r="AG13" s="2933"/>
      <c r="AH13" s="2933"/>
      <c r="AI13" s="2933"/>
      <c r="AJ13" s="2933"/>
      <c r="AK13" s="2933"/>
      <c r="AL13" s="2933"/>
      <c r="AM13" s="2933"/>
      <c r="AN13" s="2933"/>
      <c r="AO13" s="2945"/>
      <c r="AP13" s="2945"/>
      <c r="AQ13" s="2948"/>
    </row>
    <row r="14" spans="1:63" s="1305" customFormat="1" ht="30" x14ac:dyDescent="0.2">
      <c r="A14" s="2883"/>
      <c r="B14" s="2884"/>
      <c r="C14" s="2885"/>
      <c r="D14" s="2892"/>
      <c r="E14" s="2893"/>
      <c r="F14" s="2894"/>
      <c r="G14" s="2901"/>
      <c r="H14" s="2902"/>
      <c r="I14" s="2903"/>
      <c r="J14" s="2908"/>
      <c r="K14" s="2911"/>
      <c r="L14" s="2911"/>
      <c r="M14" s="2908"/>
      <c r="N14" s="2908"/>
      <c r="O14" s="2936"/>
      <c r="P14" s="2911"/>
      <c r="Q14" s="2939"/>
      <c r="R14" s="2942"/>
      <c r="S14" s="2936"/>
      <c r="T14" s="2950" t="s">
        <v>1159</v>
      </c>
      <c r="U14" s="2930"/>
      <c r="V14" s="1349">
        <v>425000000</v>
      </c>
      <c r="W14" s="1350" t="s">
        <v>1160</v>
      </c>
      <c r="X14" s="1351" t="s">
        <v>1161</v>
      </c>
      <c r="Y14" s="2933"/>
      <c r="Z14" s="2933"/>
      <c r="AA14" s="2933"/>
      <c r="AB14" s="2933"/>
      <c r="AC14" s="2933"/>
      <c r="AD14" s="2933"/>
      <c r="AE14" s="2933"/>
      <c r="AF14" s="2933"/>
      <c r="AG14" s="2933"/>
      <c r="AH14" s="2933"/>
      <c r="AI14" s="2933"/>
      <c r="AJ14" s="2933"/>
      <c r="AK14" s="2933"/>
      <c r="AL14" s="2933"/>
      <c r="AM14" s="2933"/>
      <c r="AN14" s="2933"/>
      <c r="AO14" s="2945"/>
      <c r="AP14" s="2945"/>
      <c r="AQ14" s="2948"/>
    </row>
    <row r="15" spans="1:63" s="1305" customFormat="1" ht="30" x14ac:dyDescent="0.2">
      <c r="A15" s="2883"/>
      <c r="B15" s="2884"/>
      <c r="C15" s="2885"/>
      <c r="D15" s="2892"/>
      <c r="E15" s="2893"/>
      <c r="F15" s="2894"/>
      <c r="G15" s="2904"/>
      <c r="H15" s="2905"/>
      <c r="I15" s="2906"/>
      <c r="J15" s="2909"/>
      <c r="K15" s="2912"/>
      <c r="L15" s="2912"/>
      <c r="M15" s="2909"/>
      <c r="N15" s="2909"/>
      <c r="O15" s="2937"/>
      <c r="P15" s="2912"/>
      <c r="Q15" s="2940"/>
      <c r="R15" s="2943"/>
      <c r="S15" s="2937"/>
      <c r="T15" s="2951"/>
      <c r="U15" s="2931"/>
      <c r="V15" s="1349">
        <v>11779994</v>
      </c>
      <c r="W15" s="1352">
        <v>90</v>
      </c>
      <c r="X15" s="1351" t="s">
        <v>1162</v>
      </c>
      <c r="Y15" s="2934"/>
      <c r="Z15" s="2934"/>
      <c r="AA15" s="2934"/>
      <c r="AB15" s="2934"/>
      <c r="AC15" s="2934"/>
      <c r="AD15" s="2934"/>
      <c r="AE15" s="2934"/>
      <c r="AF15" s="2934"/>
      <c r="AG15" s="2934"/>
      <c r="AH15" s="2934"/>
      <c r="AI15" s="2934"/>
      <c r="AJ15" s="2934"/>
      <c r="AK15" s="2934"/>
      <c r="AL15" s="2934"/>
      <c r="AM15" s="2934"/>
      <c r="AN15" s="2934"/>
      <c r="AO15" s="2946"/>
      <c r="AP15" s="2946"/>
      <c r="AQ15" s="2948"/>
    </row>
    <row r="16" spans="1:63" s="1354" customFormat="1" ht="65.25" customHeight="1" x14ac:dyDescent="0.2">
      <c r="A16" s="2883"/>
      <c r="B16" s="2884"/>
      <c r="C16" s="2885"/>
      <c r="D16" s="2892"/>
      <c r="E16" s="2893"/>
      <c r="F16" s="2894"/>
      <c r="G16" s="2952"/>
      <c r="H16" s="2953"/>
      <c r="I16" s="2954"/>
      <c r="J16" s="2907">
        <v>9</v>
      </c>
      <c r="K16" s="2935" t="s">
        <v>1147</v>
      </c>
      <c r="L16" s="2935" t="s">
        <v>1148</v>
      </c>
      <c r="M16" s="2907">
        <v>5</v>
      </c>
      <c r="N16" s="2907" t="s">
        <v>1163</v>
      </c>
      <c r="O16" s="2935" t="s">
        <v>1164</v>
      </c>
      <c r="P16" s="2935" t="s">
        <v>1165</v>
      </c>
      <c r="Q16" s="2960">
        <f>+V16/R16</f>
        <v>1</v>
      </c>
      <c r="R16" s="2941">
        <f>SUM(V16)</f>
        <v>1105246431</v>
      </c>
      <c r="S16" s="2935" t="s">
        <v>1166</v>
      </c>
      <c r="T16" s="1353" t="s">
        <v>1167</v>
      </c>
      <c r="U16" s="2929" t="s">
        <v>1168</v>
      </c>
      <c r="V16" s="2941">
        <v>1105246431</v>
      </c>
      <c r="W16" s="2958">
        <v>27</v>
      </c>
      <c r="X16" s="2907" t="s">
        <v>1158</v>
      </c>
      <c r="Y16" s="2932">
        <v>294321</v>
      </c>
      <c r="Z16" s="2932">
        <v>283947</v>
      </c>
      <c r="AA16" s="2932">
        <v>135754</v>
      </c>
      <c r="AB16" s="2932">
        <v>44640</v>
      </c>
      <c r="AC16" s="2932">
        <v>308178</v>
      </c>
      <c r="AD16" s="2932">
        <v>89696</v>
      </c>
      <c r="AE16" s="2932">
        <v>2145</v>
      </c>
      <c r="AF16" s="2932">
        <v>12718</v>
      </c>
      <c r="AG16" s="2932">
        <v>26</v>
      </c>
      <c r="AH16" s="2932">
        <v>37</v>
      </c>
      <c r="AI16" s="2932">
        <v>0</v>
      </c>
      <c r="AJ16" s="2932">
        <v>0</v>
      </c>
      <c r="AK16" s="2932">
        <v>54612</v>
      </c>
      <c r="AL16" s="2932">
        <v>21944</v>
      </c>
      <c r="AM16" s="2932">
        <v>1010</v>
      </c>
      <c r="AN16" s="2932">
        <v>578268</v>
      </c>
      <c r="AO16" s="2944">
        <v>43466</v>
      </c>
      <c r="AP16" s="2944">
        <v>43830</v>
      </c>
      <c r="AQ16" s="2948"/>
    </row>
    <row r="17" spans="1:47" s="1305" customFormat="1" ht="45" x14ac:dyDescent="0.2">
      <c r="A17" s="2883"/>
      <c r="B17" s="2884"/>
      <c r="C17" s="2885"/>
      <c r="D17" s="2892"/>
      <c r="E17" s="2893"/>
      <c r="F17" s="2894"/>
      <c r="G17" s="2955"/>
      <c r="H17" s="2956"/>
      <c r="I17" s="2957"/>
      <c r="J17" s="2909"/>
      <c r="K17" s="2937"/>
      <c r="L17" s="2937"/>
      <c r="M17" s="2909"/>
      <c r="N17" s="2909"/>
      <c r="O17" s="2937"/>
      <c r="P17" s="2937"/>
      <c r="Q17" s="2961"/>
      <c r="R17" s="2943"/>
      <c r="S17" s="2937"/>
      <c r="T17" s="1353" t="s">
        <v>1169</v>
      </c>
      <c r="U17" s="2931"/>
      <c r="V17" s="2943"/>
      <c r="W17" s="2959"/>
      <c r="X17" s="2909"/>
      <c r="Y17" s="2934"/>
      <c r="Z17" s="2934"/>
      <c r="AA17" s="2934"/>
      <c r="AB17" s="2934"/>
      <c r="AC17" s="2934"/>
      <c r="AD17" s="2934"/>
      <c r="AE17" s="2934"/>
      <c r="AF17" s="2934"/>
      <c r="AG17" s="2934"/>
      <c r="AH17" s="2934"/>
      <c r="AI17" s="2934"/>
      <c r="AJ17" s="2934"/>
      <c r="AK17" s="2934"/>
      <c r="AL17" s="2934"/>
      <c r="AM17" s="2934"/>
      <c r="AN17" s="2934"/>
      <c r="AO17" s="2946"/>
      <c r="AP17" s="2946"/>
      <c r="AQ17" s="2948"/>
    </row>
    <row r="18" spans="1:47" s="1356" customFormat="1" ht="30" x14ac:dyDescent="0.2">
      <c r="A18" s="2883"/>
      <c r="B18" s="2884"/>
      <c r="C18" s="2885"/>
      <c r="D18" s="2892"/>
      <c r="E18" s="2893"/>
      <c r="F18" s="2894"/>
      <c r="G18" s="2962"/>
      <c r="H18" s="2963"/>
      <c r="I18" s="2964"/>
      <c r="J18" s="2907">
        <v>10</v>
      </c>
      <c r="K18" s="2935" t="s">
        <v>1170</v>
      </c>
      <c r="L18" s="2935" t="s">
        <v>1171</v>
      </c>
      <c r="M18" s="2907">
        <v>5</v>
      </c>
      <c r="N18" s="2907" t="s">
        <v>1172</v>
      </c>
      <c r="O18" s="2935" t="s">
        <v>1173</v>
      </c>
      <c r="P18" s="2935" t="s">
        <v>1174</v>
      </c>
      <c r="Q18" s="2960">
        <f>V18/R18</f>
        <v>1</v>
      </c>
      <c r="R18" s="2941">
        <f>+V18</f>
        <v>80000000</v>
      </c>
      <c r="S18" s="2935" t="s">
        <v>1175</v>
      </c>
      <c r="T18" s="1355" t="s">
        <v>1176</v>
      </c>
      <c r="U18" s="2935" t="s">
        <v>1177</v>
      </c>
      <c r="V18" s="2941">
        <v>80000000</v>
      </c>
      <c r="W18" s="2958">
        <v>27</v>
      </c>
      <c r="X18" s="2935" t="s">
        <v>1158</v>
      </c>
      <c r="Y18" s="2932">
        <v>294321</v>
      </c>
      <c r="Z18" s="2932">
        <v>283947</v>
      </c>
      <c r="AA18" s="2932">
        <v>135754</v>
      </c>
      <c r="AB18" s="2932">
        <v>44640</v>
      </c>
      <c r="AC18" s="2932">
        <v>308178</v>
      </c>
      <c r="AD18" s="2932">
        <v>89696</v>
      </c>
      <c r="AE18" s="2932">
        <v>2145</v>
      </c>
      <c r="AF18" s="2932">
        <v>12718</v>
      </c>
      <c r="AG18" s="2932">
        <v>26</v>
      </c>
      <c r="AH18" s="2932">
        <v>37</v>
      </c>
      <c r="AI18" s="2932">
        <v>0</v>
      </c>
      <c r="AJ18" s="2932">
        <v>0</v>
      </c>
      <c r="AK18" s="2932">
        <v>54612</v>
      </c>
      <c r="AL18" s="2932">
        <v>21944</v>
      </c>
      <c r="AM18" s="2932">
        <v>1010</v>
      </c>
      <c r="AN18" s="2932">
        <v>578268</v>
      </c>
      <c r="AO18" s="2944">
        <v>43466</v>
      </c>
      <c r="AP18" s="2944">
        <v>43830</v>
      </c>
      <c r="AQ18" s="2948"/>
    </row>
    <row r="19" spans="1:47" s="1356" customFormat="1" ht="57.75" customHeight="1" x14ac:dyDescent="0.2">
      <c r="A19" s="2883"/>
      <c r="B19" s="2884"/>
      <c r="C19" s="2885"/>
      <c r="D19" s="2892"/>
      <c r="E19" s="2893"/>
      <c r="F19" s="2894"/>
      <c r="G19" s="2965"/>
      <c r="H19" s="2966"/>
      <c r="I19" s="2967"/>
      <c r="J19" s="2909"/>
      <c r="K19" s="2937"/>
      <c r="L19" s="2937"/>
      <c r="M19" s="2909"/>
      <c r="N19" s="2909"/>
      <c r="O19" s="2937"/>
      <c r="P19" s="2937"/>
      <c r="Q19" s="2961"/>
      <c r="R19" s="2943"/>
      <c r="S19" s="2937"/>
      <c r="T19" s="1355" t="s">
        <v>1178</v>
      </c>
      <c r="U19" s="2937"/>
      <c r="V19" s="2943"/>
      <c r="W19" s="2959"/>
      <c r="X19" s="2937"/>
      <c r="Y19" s="2934"/>
      <c r="Z19" s="2934"/>
      <c r="AA19" s="2934"/>
      <c r="AB19" s="2934"/>
      <c r="AC19" s="2934"/>
      <c r="AD19" s="2934"/>
      <c r="AE19" s="2934"/>
      <c r="AF19" s="2934"/>
      <c r="AG19" s="2934"/>
      <c r="AH19" s="2934"/>
      <c r="AI19" s="2934"/>
      <c r="AJ19" s="2934"/>
      <c r="AK19" s="2934"/>
      <c r="AL19" s="2934"/>
      <c r="AM19" s="2934"/>
      <c r="AN19" s="2934"/>
      <c r="AO19" s="2946"/>
      <c r="AP19" s="2946"/>
      <c r="AQ19" s="2948"/>
    </row>
    <row r="20" spans="1:47" s="1356" customFormat="1" ht="409.5" x14ac:dyDescent="0.2">
      <c r="A20" s="2883"/>
      <c r="B20" s="2884"/>
      <c r="C20" s="2885"/>
      <c r="D20" s="2892"/>
      <c r="E20" s="2893"/>
      <c r="F20" s="2894"/>
      <c r="G20" s="2968"/>
      <c r="H20" s="2969"/>
      <c r="I20" s="2970"/>
      <c r="J20" s="1351">
        <v>11</v>
      </c>
      <c r="K20" s="1355" t="s">
        <v>1179</v>
      </c>
      <c r="L20" s="1355" t="s">
        <v>1180</v>
      </c>
      <c r="M20" s="1351">
        <v>1</v>
      </c>
      <c r="N20" s="1351" t="s">
        <v>1181</v>
      </c>
      <c r="O20" s="1355" t="s">
        <v>1182</v>
      </c>
      <c r="P20" s="1355" t="s">
        <v>1183</v>
      </c>
      <c r="Q20" s="1357">
        <f>+V20/R20</f>
        <v>1</v>
      </c>
      <c r="R20" s="1358">
        <f>SUM(V20)</f>
        <v>230000000</v>
      </c>
      <c r="S20" s="1355" t="s">
        <v>1184</v>
      </c>
      <c r="T20" s="1355" t="s">
        <v>1185</v>
      </c>
      <c r="U20" s="1355" t="s">
        <v>1186</v>
      </c>
      <c r="V20" s="1358">
        <v>230000000</v>
      </c>
      <c r="W20" s="1352">
        <v>27</v>
      </c>
      <c r="X20" s="1355" t="s">
        <v>1158</v>
      </c>
      <c r="Y20" s="1359">
        <v>294321</v>
      </c>
      <c r="Z20" s="1359">
        <v>283947</v>
      </c>
      <c r="AA20" s="1359">
        <v>135754</v>
      </c>
      <c r="AB20" s="1359">
        <v>44640</v>
      </c>
      <c r="AC20" s="1359">
        <v>308178</v>
      </c>
      <c r="AD20" s="1359">
        <v>89696</v>
      </c>
      <c r="AE20" s="1359">
        <v>2145</v>
      </c>
      <c r="AF20" s="1359">
        <v>12718</v>
      </c>
      <c r="AG20" s="1359">
        <v>26</v>
      </c>
      <c r="AH20" s="1359">
        <v>37</v>
      </c>
      <c r="AI20" s="1359">
        <v>0</v>
      </c>
      <c r="AJ20" s="1359"/>
      <c r="AK20" s="1359">
        <v>54612</v>
      </c>
      <c r="AL20" s="1359">
        <v>21944</v>
      </c>
      <c r="AM20" s="1359">
        <v>1010</v>
      </c>
      <c r="AN20" s="1359">
        <v>578268</v>
      </c>
      <c r="AO20" s="1360">
        <v>43466</v>
      </c>
      <c r="AP20" s="1360">
        <v>43830</v>
      </c>
      <c r="AQ20" s="2948"/>
    </row>
    <row r="21" spans="1:47" s="1356" customFormat="1" ht="45" x14ac:dyDescent="0.2">
      <c r="A21" s="2883"/>
      <c r="B21" s="2884"/>
      <c r="C21" s="2885"/>
      <c r="D21" s="2892"/>
      <c r="E21" s="2893"/>
      <c r="F21" s="2894"/>
      <c r="G21" s="2971"/>
      <c r="H21" s="2972"/>
      <c r="I21" s="2973"/>
      <c r="J21" s="2907">
        <v>12</v>
      </c>
      <c r="K21" s="2935" t="s">
        <v>1187</v>
      </c>
      <c r="L21" s="2935" t="s">
        <v>1188</v>
      </c>
      <c r="M21" s="2907">
        <v>3</v>
      </c>
      <c r="N21" s="2907" t="s">
        <v>1189</v>
      </c>
      <c r="O21" s="2935" t="s">
        <v>1190</v>
      </c>
      <c r="P21" s="2935" t="s">
        <v>1191</v>
      </c>
      <c r="Q21" s="2960">
        <f>(+V21+V22)/R21</f>
        <v>1</v>
      </c>
      <c r="R21" s="2941">
        <f>SUM(V21:V22)</f>
        <v>1190000000</v>
      </c>
      <c r="S21" s="2935" t="s">
        <v>1192</v>
      </c>
      <c r="T21" s="1355" t="s">
        <v>1193</v>
      </c>
      <c r="U21" s="1355" t="s">
        <v>1194</v>
      </c>
      <c r="V21" s="1358">
        <v>440000000</v>
      </c>
      <c r="W21" s="1352">
        <v>27</v>
      </c>
      <c r="X21" s="1361" t="s">
        <v>1158</v>
      </c>
      <c r="Y21" s="2932">
        <v>294321</v>
      </c>
      <c r="Z21" s="2932">
        <v>283947</v>
      </c>
      <c r="AA21" s="2932">
        <v>135754</v>
      </c>
      <c r="AB21" s="2932">
        <v>44640</v>
      </c>
      <c r="AC21" s="2932">
        <v>308178</v>
      </c>
      <c r="AD21" s="2932">
        <v>89696</v>
      </c>
      <c r="AE21" s="2932">
        <v>2145</v>
      </c>
      <c r="AF21" s="2932">
        <v>12718</v>
      </c>
      <c r="AG21" s="2932">
        <v>26</v>
      </c>
      <c r="AH21" s="2932">
        <v>37</v>
      </c>
      <c r="AI21" s="2932">
        <v>0</v>
      </c>
      <c r="AJ21" s="2932">
        <v>0</v>
      </c>
      <c r="AK21" s="2932">
        <v>54612</v>
      </c>
      <c r="AL21" s="2932">
        <v>21944</v>
      </c>
      <c r="AM21" s="2932">
        <v>1010</v>
      </c>
      <c r="AN21" s="2932">
        <v>578268</v>
      </c>
      <c r="AO21" s="2944">
        <v>43466</v>
      </c>
      <c r="AP21" s="2944">
        <v>43830</v>
      </c>
      <c r="AQ21" s="2948"/>
    </row>
    <row r="22" spans="1:47" s="1363" customFormat="1" ht="30" x14ac:dyDescent="0.2">
      <c r="A22" s="2886"/>
      <c r="B22" s="2887"/>
      <c r="C22" s="2888"/>
      <c r="D22" s="2895"/>
      <c r="E22" s="2896"/>
      <c r="F22" s="2897"/>
      <c r="G22" s="2974"/>
      <c r="H22" s="2975"/>
      <c r="I22" s="2976"/>
      <c r="J22" s="2909"/>
      <c r="K22" s="2937"/>
      <c r="L22" s="2937"/>
      <c r="M22" s="2909"/>
      <c r="N22" s="2909"/>
      <c r="O22" s="2937"/>
      <c r="P22" s="2937"/>
      <c r="Q22" s="2961"/>
      <c r="R22" s="2943"/>
      <c r="S22" s="2937"/>
      <c r="T22" s="1355" t="s">
        <v>1195</v>
      </c>
      <c r="U22" s="1355" t="s">
        <v>1196</v>
      </c>
      <c r="V22" s="1362">
        <v>750000000</v>
      </c>
      <c r="W22" s="1352">
        <v>27</v>
      </c>
      <c r="X22" s="1361" t="s">
        <v>1158</v>
      </c>
      <c r="Y22" s="2934"/>
      <c r="Z22" s="2934"/>
      <c r="AA22" s="2934"/>
      <c r="AB22" s="2934"/>
      <c r="AC22" s="2934"/>
      <c r="AD22" s="2934"/>
      <c r="AE22" s="2934"/>
      <c r="AF22" s="2934"/>
      <c r="AG22" s="2934"/>
      <c r="AH22" s="2934"/>
      <c r="AI22" s="2934"/>
      <c r="AJ22" s="2934"/>
      <c r="AK22" s="2934"/>
      <c r="AL22" s="2934"/>
      <c r="AM22" s="2934"/>
      <c r="AN22" s="2934"/>
      <c r="AO22" s="2946"/>
      <c r="AP22" s="2946"/>
      <c r="AQ22" s="2949"/>
    </row>
    <row r="23" spans="1:47" ht="27" customHeight="1" x14ac:dyDescent="0.2">
      <c r="A23" s="1364" t="s">
        <v>1197</v>
      </c>
      <c r="B23" s="1365" t="s">
        <v>1198</v>
      </c>
      <c r="C23" s="1365"/>
      <c r="D23" s="1365"/>
      <c r="E23" s="1365"/>
      <c r="F23" s="1366"/>
      <c r="G23" s="1367"/>
      <c r="H23" s="1368"/>
      <c r="I23" s="1368"/>
      <c r="J23" s="1369"/>
      <c r="K23" s="1369"/>
      <c r="L23" s="1369"/>
      <c r="M23" s="1370"/>
      <c r="N23" s="1370"/>
      <c r="O23" s="1369"/>
      <c r="P23" s="1369"/>
      <c r="Q23" s="1369"/>
      <c r="R23" s="1371"/>
      <c r="S23" s="1369"/>
      <c r="T23" s="1368"/>
      <c r="U23" s="1369"/>
      <c r="V23" s="1372"/>
      <c r="W23" s="1373"/>
      <c r="X23" s="1374"/>
      <c r="Y23" s="1375"/>
      <c r="Z23" s="1376"/>
      <c r="AA23" s="1376"/>
      <c r="AB23" s="1376"/>
      <c r="AC23" s="1376"/>
      <c r="AD23" s="1376"/>
      <c r="AE23" s="1376"/>
      <c r="AF23" s="1376"/>
      <c r="AG23" s="1376"/>
      <c r="AH23" s="1376"/>
      <c r="AI23" s="1376"/>
      <c r="AJ23" s="1376"/>
      <c r="AK23" s="1376"/>
      <c r="AL23" s="1377"/>
      <c r="AM23" s="1377"/>
      <c r="AN23" s="1378"/>
      <c r="AO23" s="1379"/>
      <c r="AP23" s="1379"/>
      <c r="AQ23" s="1380"/>
      <c r="AR23" s="1381"/>
      <c r="AS23" s="1381"/>
      <c r="AT23" s="1381"/>
      <c r="AU23" s="1381"/>
    </row>
    <row r="24" spans="1:47" ht="27" customHeight="1" x14ac:dyDescent="0.2">
      <c r="A24" s="2977" t="s">
        <v>695</v>
      </c>
      <c r="B24" s="2978"/>
      <c r="C24" s="2979"/>
      <c r="D24" s="1382" t="s">
        <v>1199</v>
      </c>
      <c r="E24" s="2986" t="s">
        <v>1200</v>
      </c>
      <c r="F24" s="2986"/>
      <c r="G24" s="2986"/>
      <c r="H24" s="2986"/>
      <c r="I24" s="2986"/>
      <c r="J24" s="2986"/>
      <c r="K24" s="2986"/>
      <c r="L24" s="2986"/>
      <c r="M24" s="1383"/>
      <c r="N24" s="1383"/>
      <c r="O24" s="1384"/>
      <c r="P24" s="1384"/>
      <c r="Q24" s="1384"/>
      <c r="R24" s="1385"/>
      <c r="S24" s="1384"/>
      <c r="T24" s="1384"/>
      <c r="U24" s="1384"/>
      <c r="V24" s="1385"/>
      <c r="W24" s="1386"/>
      <c r="X24" s="1387"/>
      <c r="Y24" s="1388"/>
      <c r="Z24" s="1389"/>
      <c r="AA24" s="1389"/>
      <c r="AB24" s="1389"/>
      <c r="AC24" s="1389"/>
      <c r="AD24" s="1389"/>
      <c r="AE24" s="1389"/>
      <c r="AF24" s="1389"/>
      <c r="AG24" s="1389"/>
      <c r="AH24" s="1389"/>
      <c r="AI24" s="1389"/>
      <c r="AJ24" s="1389"/>
      <c r="AK24" s="1389"/>
      <c r="AL24" s="1390"/>
      <c r="AM24" s="1390"/>
      <c r="AN24" s="1391"/>
      <c r="AO24" s="1392"/>
      <c r="AP24" s="1392"/>
      <c r="AQ24" s="1393"/>
      <c r="AR24" s="1381"/>
      <c r="AS24" s="1381"/>
      <c r="AT24" s="1381"/>
      <c r="AU24" s="1381"/>
    </row>
    <row r="25" spans="1:47" ht="27" customHeight="1" thickBot="1" x14ac:dyDescent="0.25">
      <c r="A25" s="2980"/>
      <c r="B25" s="2981"/>
      <c r="C25" s="2982"/>
      <c r="D25" s="2977" t="s">
        <v>695</v>
      </c>
      <c r="E25" s="2978"/>
      <c r="F25" s="2979"/>
      <c r="G25" s="1394" t="s">
        <v>1201</v>
      </c>
      <c r="H25" s="1395" t="s">
        <v>1202</v>
      </c>
      <c r="I25" s="1395"/>
      <c r="J25" s="1395"/>
      <c r="K25" s="1396"/>
      <c r="L25" s="1396"/>
      <c r="M25" s="1397"/>
      <c r="N25" s="1397"/>
      <c r="O25" s="1396"/>
      <c r="P25" s="1396"/>
      <c r="Q25" s="1396"/>
      <c r="R25" s="1398"/>
      <c r="S25" s="1396"/>
      <c r="T25" s="1396"/>
      <c r="U25" s="1399"/>
      <c r="V25" s="1400"/>
      <c r="W25" s="1401"/>
      <c r="X25" s="1402"/>
      <c r="Y25" s="1403"/>
      <c r="Z25" s="1395"/>
      <c r="AA25" s="1395"/>
      <c r="AB25" s="1395"/>
      <c r="AC25" s="1395"/>
      <c r="AD25" s="1395"/>
      <c r="AE25" s="1395"/>
      <c r="AF25" s="1395"/>
      <c r="AG25" s="1395"/>
      <c r="AH25" s="1395"/>
      <c r="AI25" s="1395"/>
      <c r="AJ25" s="1395"/>
      <c r="AK25" s="1395"/>
      <c r="AL25" s="1404"/>
      <c r="AM25" s="1404"/>
      <c r="AN25" s="1405"/>
      <c r="AO25" s="1406"/>
      <c r="AP25" s="1406"/>
      <c r="AQ25" s="1407"/>
      <c r="AR25" s="1381"/>
      <c r="AS25" s="1381"/>
      <c r="AT25" s="1381"/>
      <c r="AU25" s="1381"/>
    </row>
    <row r="26" spans="1:47" ht="45.75" thickBot="1" x14ac:dyDescent="0.25">
      <c r="A26" s="2980"/>
      <c r="B26" s="2981"/>
      <c r="C26" s="2982"/>
      <c r="D26" s="2980"/>
      <c r="E26" s="2981"/>
      <c r="F26" s="2982"/>
      <c r="G26" s="2977" t="s">
        <v>695</v>
      </c>
      <c r="H26" s="2978"/>
      <c r="I26" s="2979"/>
      <c r="J26" s="2987">
        <v>54</v>
      </c>
      <c r="K26" s="2910" t="s">
        <v>1203</v>
      </c>
      <c r="L26" s="2910" t="s">
        <v>1204</v>
      </c>
      <c r="M26" s="2997">
        <v>130</v>
      </c>
      <c r="N26" s="1408"/>
      <c r="O26" s="2997" t="s">
        <v>1205</v>
      </c>
      <c r="P26" s="2910" t="s">
        <v>1206</v>
      </c>
      <c r="Q26" s="2938">
        <f>SUM(V26:V30)/R26</f>
        <v>0.76394159316709997</v>
      </c>
      <c r="R26" s="3003">
        <f>SUM(V26:V35)</f>
        <v>5687551670</v>
      </c>
      <c r="S26" s="2910" t="s">
        <v>1207</v>
      </c>
      <c r="T26" s="2989" t="s">
        <v>1208</v>
      </c>
      <c r="U26" s="1409" t="s">
        <v>1209</v>
      </c>
      <c r="V26" s="1410">
        <v>266273502</v>
      </c>
      <c r="W26" s="1411">
        <v>23</v>
      </c>
      <c r="X26" s="1412" t="s">
        <v>1210</v>
      </c>
      <c r="Y26" s="2991">
        <v>294321</v>
      </c>
      <c r="Z26" s="2993">
        <v>283947</v>
      </c>
      <c r="AA26" s="2993">
        <v>135912</v>
      </c>
      <c r="AB26" s="2993">
        <v>44640</v>
      </c>
      <c r="AC26" s="2993">
        <v>308178</v>
      </c>
      <c r="AD26" s="2993">
        <v>89696</v>
      </c>
      <c r="AE26" s="2993">
        <v>2145</v>
      </c>
      <c r="AF26" s="2993">
        <v>12718</v>
      </c>
      <c r="AG26" s="2993">
        <v>26</v>
      </c>
      <c r="AH26" s="2993">
        <v>37</v>
      </c>
      <c r="AI26" s="2993">
        <v>0</v>
      </c>
      <c r="AJ26" s="2993">
        <v>0</v>
      </c>
      <c r="AK26" s="2993">
        <v>54612</v>
      </c>
      <c r="AL26" s="2993">
        <v>21944</v>
      </c>
      <c r="AM26" s="2993">
        <v>1010</v>
      </c>
      <c r="AN26" s="2993">
        <f>SUM(Y26:Z35)</f>
        <v>578268</v>
      </c>
      <c r="AO26" s="2999">
        <v>43466</v>
      </c>
      <c r="AP26" s="2999">
        <v>43830</v>
      </c>
      <c r="AQ26" s="3001" t="s">
        <v>1157</v>
      </c>
      <c r="AR26" s="1381"/>
      <c r="AS26" s="1381"/>
      <c r="AT26" s="1381"/>
      <c r="AU26" s="1381"/>
    </row>
    <row r="27" spans="1:47" ht="45.75" thickBot="1" x14ac:dyDescent="0.25">
      <c r="A27" s="2980"/>
      <c r="B27" s="2981"/>
      <c r="C27" s="2982"/>
      <c r="D27" s="2980"/>
      <c r="E27" s="2981"/>
      <c r="F27" s="2982"/>
      <c r="G27" s="2980"/>
      <c r="H27" s="2981"/>
      <c r="I27" s="2982"/>
      <c r="J27" s="2988"/>
      <c r="K27" s="2911"/>
      <c r="L27" s="2911"/>
      <c r="M27" s="2998"/>
      <c r="N27" s="1413"/>
      <c r="O27" s="2998"/>
      <c r="P27" s="2911"/>
      <c r="Q27" s="2939"/>
      <c r="R27" s="3004"/>
      <c r="S27" s="2911"/>
      <c r="T27" s="2990"/>
      <c r="U27" s="1414" t="s">
        <v>1211</v>
      </c>
      <c r="V27" s="1415">
        <v>193300000</v>
      </c>
      <c r="W27" s="1411">
        <v>23</v>
      </c>
      <c r="X27" s="1412" t="s">
        <v>1210</v>
      </c>
      <c r="Y27" s="2992"/>
      <c r="Z27" s="2994"/>
      <c r="AA27" s="2994"/>
      <c r="AB27" s="2994"/>
      <c r="AC27" s="2994"/>
      <c r="AD27" s="2994"/>
      <c r="AE27" s="2994"/>
      <c r="AF27" s="2994"/>
      <c r="AG27" s="2994"/>
      <c r="AH27" s="2994"/>
      <c r="AI27" s="2994"/>
      <c r="AJ27" s="2994"/>
      <c r="AK27" s="2994"/>
      <c r="AL27" s="2994"/>
      <c r="AM27" s="2994"/>
      <c r="AN27" s="2994"/>
      <c r="AO27" s="3000"/>
      <c r="AP27" s="3000"/>
      <c r="AQ27" s="3002"/>
      <c r="AR27" s="1416"/>
      <c r="AS27" s="1381"/>
      <c r="AT27" s="1381"/>
      <c r="AU27" s="1381"/>
    </row>
    <row r="28" spans="1:47" ht="15.75" thickBot="1" x14ac:dyDescent="0.25">
      <c r="A28" s="2980"/>
      <c r="B28" s="2981"/>
      <c r="C28" s="2982"/>
      <c r="D28" s="2980"/>
      <c r="E28" s="2981"/>
      <c r="F28" s="2982"/>
      <c r="G28" s="2980"/>
      <c r="H28" s="2981"/>
      <c r="I28" s="2982"/>
      <c r="J28" s="2988"/>
      <c r="K28" s="2911"/>
      <c r="L28" s="2911"/>
      <c r="M28" s="2998"/>
      <c r="N28" s="1413" t="s">
        <v>1212</v>
      </c>
      <c r="O28" s="2998"/>
      <c r="P28" s="2911"/>
      <c r="Q28" s="2939"/>
      <c r="R28" s="3004"/>
      <c r="S28" s="2911"/>
      <c r="T28" s="2990"/>
      <c r="U28" s="2995" t="s">
        <v>1213</v>
      </c>
      <c r="V28" s="1415">
        <v>2000000000</v>
      </c>
      <c r="W28" s="1411">
        <v>46</v>
      </c>
      <c r="X28" s="1412" t="s">
        <v>1214</v>
      </c>
      <c r="Y28" s="2992"/>
      <c r="Z28" s="2994"/>
      <c r="AA28" s="2994"/>
      <c r="AB28" s="2994"/>
      <c r="AC28" s="2994"/>
      <c r="AD28" s="2994"/>
      <c r="AE28" s="2994"/>
      <c r="AF28" s="2994"/>
      <c r="AG28" s="2994"/>
      <c r="AH28" s="2994"/>
      <c r="AI28" s="2994"/>
      <c r="AJ28" s="2994"/>
      <c r="AK28" s="2994"/>
      <c r="AL28" s="2994"/>
      <c r="AM28" s="2994"/>
      <c r="AN28" s="2994"/>
      <c r="AO28" s="3000"/>
      <c r="AP28" s="3000"/>
      <c r="AQ28" s="3002"/>
      <c r="AR28" s="1381"/>
      <c r="AS28" s="1381"/>
      <c r="AT28" s="1381"/>
      <c r="AU28" s="1381"/>
    </row>
    <row r="29" spans="1:47" ht="29.25" thickBot="1" x14ac:dyDescent="0.25">
      <c r="A29" s="2980"/>
      <c r="B29" s="2981"/>
      <c r="C29" s="2982"/>
      <c r="D29" s="2980"/>
      <c r="E29" s="2981"/>
      <c r="F29" s="2982"/>
      <c r="G29" s="2980"/>
      <c r="H29" s="2981"/>
      <c r="I29" s="2982"/>
      <c r="J29" s="2988"/>
      <c r="K29" s="2911"/>
      <c r="L29" s="2911"/>
      <c r="M29" s="2998"/>
      <c r="N29" s="1413"/>
      <c r="O29" s="2998"/>
      <c r="P29" s="2911"/>
      <c r="Q29" s="2939"/>
      <c r="R29" s="3004"/>
      <c r="S29" s="2911"/>
      <c r="T29" s="2990"/>
      <c r="U29" s="2996"/>
      <c r="V29" s="1417">
        <v>1565383782</v>
      </c>
      <c r="W29" s="1411">
        <v>157</v>
      </c>
      <c r="X29" s="1412" t="s">
        <v>1215</v>
      </c>
      <c r="Y29" s="2992"/>
      <c r="Z29" s="2994"/>
      <c r="AA29" s="2994"/>
      <c r="AB29" s="2994"/>
      <c r="AC29" s="2994"/>
      <c r="AD29" s="2994"/>
      <c r="AE29" s="2994"/>
      <c r="AF29" s="2994"/>
      <c r="AG29" s="2994"/>
      <c r="AH29" s="2994"/>
      <c r="AI29" s="2994"/>
      <c r="AJ29" s="2994"/>
      <c r="AK29" s="2994"/>
      <c r="AL29" s="2994"/>
      <c r="AM29" s="2994"/>
      <c r="AN29" s="2994"/>
      <c r="AO29" s="3000"/>
      <c r="AP29" s="3000"/>
      <c r="AQ29" s="3002"/>
      <c r="AR29" s="1381"/>
      <c r="AS29" s="1381"/>
      <c r="AT29" s="1381"/>
      <c r="AU29" s="1381"/>
    </row>
    <row r="30" spans="1:47" ht="45.75" thickBot="1" x14ac:dyDescent="0.25">
      <c r="A30" s="2980"/>
      <c r="B30" s="2981"/>
      <c r="C30" s="2982"/>
      <c r="D30" s="2980"/>
      <c r="E30" s="2981"/>
      <c r="F30" s="2982"/>
      <c r="G30" s="2980"/>
      <c r="H30" s="2981"/>
      <c r="I30" s="2982"/>
      <c r="J30" s="2988"/>
      <c r="K30" s="2911"/>
      <c r="L30" s="2911"/>
      <c r="M30" s="2998"/>
      <c r="N30" s="1413" t="s">
        <v>1216</v>
      </c>
      <c r="O30" s="2998"/>
      <c r="P30" s="2911"/>
      <c r="Q30" s="2939"/>
      <c r="R30" s="3004"/>
      <c r="S30" s="2911"/>
      <c r="T30" s="2990"/>
      <c r="U30" s="1418" t="s">
        <v>1217</v>
      </c>
      <c r="V30" s="1419">
        <v>320000000</v>
      </c>
      <c r="W30" s="1411">
        <v>46</v>
      </c>
      <c r="X30" s="1412" t="s">
        <v>1214</v>
      </c>
      <c r="Y30" s="2992"/>
      <c r="Z30" s="2994"/>
      <c r="AA30" s="2994"/>
      <c r="AB30" s="2994"/>
      <c r="AC30" s="2994"/>
      <c r="AD30" s="2994"/>
      <c r="AE30" s="2994"/>
      <c r="AF30" s="2994"/>
      <c r="AG30" s="2994"/>
      <c r="AH30" s="2994"/>
      <c r="AI30" s="2994"/>
      <c r="AJ30" s="2994"/>
      <c r="AK30" s="2994"/>
      <c r="AL30" s="2994"/>
      <c r="AM30" s="2994"/>
      <c r="AN30" s="2994"/>
      <c r="AO30" s="3000"/>
      <c r="AP30" s="3000"/>
      <c r="AQ30" s="3002"/>
      <c r="AR30" s="1381"/>
      <c r="AS30" s="1381"/>
      <c r="AT30" s="1381"/>
      <c r="AU30" s="1381"/>
    </row>
    <row r="31" spans="1:47" ht="28.5" x14ac:dyDescent="0.2">
      <c r="A31" s="2980"/>
      <c r="B31" s="2981"/>
      <c r="C31" s="2982"/>
      <c r="D31" s="2980"/>
      <c r="E31" s="2981"/>
      <c r="F31" s="2982"/>
      <c r="G31" s="2980"/>
      <c r="H31" s="2981"/>
      <c r="I31" s="2982"/>
      <c r="J31" s="2987">
        <v>55</v>
      </c>
      <c r="K31" s="2910" t="s">
        <v>1218</v>
      </c>
      <c r="L31" s="2910" t="s">
        <v>1219</v>
      </c>
      <c r="M31" s="2997">
        <v>12</v>
      </c>
      <c r="N31" s="1420"/>
      <c r="O31" s="2998"/>
      <c r="P31" s="2911"/>
      <c r="Q31" s="2938">
        <f>SUM(V31:V35)/R26</f>
        <v>0.23605840683290003</v>
      </c>
      <c r="R31" s="3004"/>
      <c r="S31" s="2911"/>
      <c r="T31" s="2910" t="s">
        <v>1220</v>
      </c>
      <c r="U31" s="2995" t="s">
        <v>1221</v>
      </c>
      <c r="V31" s="1421">
        <v>51500000</v>
      </c>
      <c r="W31" s="1411">
        <v>23</v>
      </c>
      <c r="X31" s="1412" t="s">
        <v>1222</v>
      </c>
      <c r="Y31" s="2992"/>
      <c r="Z31" s="2994"/>
      <c r="AA31" s="2994"/>
      <c r="AB31" s="2994"/>
      <c r="AC31" s="2994"/>
      <c r="AD31" s="2994"/>
      <c r="AE31" s="2994"/>
      <c r="AF31" s="2994"/>
      <c r="AG31" s="2994"/>
      <c r="AH31" s="2994"/>
      <c r="AI31" s="2994"/>
      <c r="AJ31" s="2994"/>
      <c r="AK31" s="2994"/>
      <c r="AL31" s="2994"/>
      <c r="AM31" s="2994"/>
      <c r="AN31" s="2994"/>
      <c r="AO31" s="3000"/>
      <c r="AP31" s="3000"/>
      <c r="AQ31" s="3002"/>
      <c r="AR31" s="1381"/>
      <c r="AS31" s="1381"/>
      <c r="AT31" s="1381"/>
      <c r="AU31" s="1381"/>
    </row>
    <row r="32" spans="1:47" ht="15.75" thickBot="1" x14ac:dyDescent="0.25">
      <c r="A32" s="2980"/>
      <c r="B32" s="2981"/>
      <c r="C32" s="2982"/>
      <c r="D32" s="2980"/>
      <c r="E32" s="2981"/>
      <c r="F32" s="2982"/>
      <c r="G32" s="2980"/>
      <c r="H32" s="2981"/>
      <c r="I32" s="2982"/>
      <c r="J32" s="2988"/>
      <c r="K32" s="2911"/>
      <c r="L32" s="2911"/>
      <c r="M32" s="2998"/>
      <c r="N32" s="1413" t="s">
        <v>1223</v>
      </c>
      <c r="O32" s="2998"/>
      <c r="P32" s="2911"/>
      <c r="Q32" s="2939"/>
      <c r="R32" s="3004"/>
      <c r="S32" s="2911"/>
      <c r="T32" s="2911"/>
      <c r="U32" s="2996"/>
      <c r="V32" s="1421">
        <v>100000000</v>
      </c>
      <c r="W32" s="1422">
        <v>46</v>
      </c>
      <c r="X32" s="1412" t="s">
        <v>1224</v>
      </c>
      <c r="Y32" s="2992"/>
      <c r="Z32" s="2994"/>
      <c r="AA32" s="2994"/>
      <c r="AB32" s="2994"/>
      <c r="AC32" s="2994"/>
      <c r="AD32" s="2994"/>
      <c r="AE32" s="2994"/>
      <c r="AF32" s="2994"/>
      <c r="AG32" s="2994"/>
      <c r="AH32" s="2994"/>
      <c r="AI32" s="2994"/>
      <c r="AJ32" s="2994"/>
      <c r="AK32" s="2994"/>
      <c r="AL32" s="2994"/>
      <c r="AM32" s="2994"/>
      <c r="AN32" s="2994"/>
      <c r="AO32" s="3000"/>
      <c r="AP32" s="3000"/>
      <c r="AQ32" s="3002"/>
      <c r="AR32" s="1381"/>
      <c r="AS32" s="1381"/>
      <c r="AT32" s="1381"/>
      <c r="AU32" s="1381"/>
    </row>
    <row r="33" spans="1:47" ht="28.5" x14ac:dyDescent="0.2">
      <c r="A33" s="2980"/>
      <c r="B33" s="2981"/>
      <c r="C33" s="2982"/>
      <c r="D33" s="2980"/>
      <c r="E33" s="2981"/>
      <c r="F33" s="2982"/>
      <c r="G33" s="2980"/>
      <c r="H33" s="2981"/>
      <c r="I33" s="2982"/>
      <c r="J33" s="2988"/>
      <c r="K33" s="2911"/>
      <c r="L33" s="2911"/>
      <c r="M33" s="2998"/>
      <c r="N33" s="1420"/>
      <c r="O33" s="2998"/>
      <c r="P33" s="2911"/>
      <c r="Q33" s="2939"/>
      <c r="R33" s="3004"/>
      <c r="S33" s="2911"/>
      <c r="T33" s="2911"/>
      <c r="U33" s="2995" t="s">
        <v>1225</v>
      </c>
      <c r="V33" s="1415">
        <v>448500000</v>
      </c>
      <c r="W33" s="1411">
        <v>23</v>
      </c>
      <c r="X33" s="1412" t="s">
        <v>1222</v>
      </c>
      <c r="Y33" s="2992"/>
      <c r="Z33" s="2994"/>
      <c r="AA33" s="2994"/>
      <c r="AB33" s="2994"/>
      <c r="AC33" s="2994"/>
      <c r="AD33" s="2994"/>
      <c r="AE33" s="2994"/>
      <c r="AF33" s="2994"/>
      <c r="AG33" s="2994"/>
      <c r="AH33" s="2994"/>
      <c r="AI33" s="2994"/>
      <c r="AJ33" s="2994"/>
      <c r="AK33" s="2994"/>
      <c r="AL33" s="2994"/>
      <c r="AM33" s="2994"/>
      <c r="AN33" s="2994"/>
      <c r="AO33" s="3000"/>
      <c r="AP33" s="3000"/>
      <c r="AQ33" s="3002"/>
      <c r="AR33" s="1381"/>
      <c r="AS33" s="1381"/>
      <c r="AT33" s="1381"/>
      <c r="AU33" s="1381"/>
    </row>
    <row r="34" spans="1:47" ht="42.75" x14ac:dyDescent="0.2">
      <c r="A34" s="2980"/>
      <c r="B34" s="2981"/>
      <c r="C34" s="2982"/>
      <c r="D34" s="2980"/>
      <c r="E34" s="2981"/>
      <c r="F34" s="2982"/>
      <c r="G34" s="2980"/>
      <c r="H34" s="2981"/>
      <c r="I34" s="2982"/>
      <c r="J34" s="2988"/>
      <c r="K34" s="2911"/>
      <c r="L34" s="2911"/>
      <c r="M34" s="2998"/>
      <c r="N34" s="1420" t="s">
        <v>1226</v>
      </c>
      <c r="O34" s="2998"/>
      <c r="P34" s="2911"/>
      <c r="Q34" s="2939"/>
      <c r="R34" s="3004"/>
      <c r="S34" s="2911"/>
      <c r="T34" s="2911"/>
      <c r="U34" s="2996"/>
      <c r="V34" s="1415">
        <v>42594386</v>
      </c>
      <c r="W34" s="1423">
        <v>89</v>
      </c>
      <c r="X34" s="1412" t="s">
        <v>1227</v>
      </c>
      <c r="Y34" s="2992"/>
      <c r="Z34" s="2994"/>
      <c r="AA34" s="2994"/>
      <c r="AB34" s="2994"/>
      <c r="AC34" s="2994"/>
      <c r="AD34" s="2994"/>
      <c r="AE34" s="2994"/>
      <c r="AF34" s="2994"/>
      <c r="AG34" s="2994"/>
      <c r="AH34" s="2994"/>
      <c r="AI34" s="2994"/>
      <c r="AJ34" s="2994"/>
      <c r="AK34" s="2994"/>
      <c r="AL34" s="2994"/>
      <c r="AM34" s="2994"/>
      <c r="AN34" s="2994"/>
      <c r="AO34" s="3000"/>
      <c r="AP34" s="3000"/>
      <c r="AQ34" s="3002"/>
      <c r="AR34" s="1381"/>
      <c r="AS34" s="1381"/>
      <c r="AT34" s="1381"/>
      <c r="AU34" s="1381"/>
    </row>
    <row r="35" spans="1:47" ht="30" x14ac:dyDescent="0.2">
      <c r="A35" s="2983"/>
      <c r="B35" s="2984"/>
      <c r="C35" s="2985"/>
      <c r="D35" s="2983"/>
      <c r="E35" s="2984"/>
      <c r="F35" s="2985"/>
      <c r="G35" s="2980"/>
      <c r="H35" s="2981"/>
      <c r="I35" s="2982"/>
      <c r="J35" s="2988"/>
      <c r="K35" s="2911"/>
      <c r="L35" s="2911"/>
      <c r="M35" s="2998"/>
      <c r="N35" s="1413"/>
      <c r="O35" s="2998"/>
      <c r="P35" s="2911"/>
      <c r="Q35" s="2939"/>
      <c r="R35" s="3004"/>
      <c r="S35" s="2912"/>
      <c r="T35" s="2911"/>
      <c r="U35" s="1424" t="s">
        <v>1228</v>
      </c>
      <c r="V35" s="1415">
        <v>700000000</v>
      </c>
      <c r="W35" s="1422">
        <v>46</v>
      </c>
      <c r="X35" s="1412" t="s">
        <v>1224</v>
      </c>
      <c r="Y35" s="2992"/>
      <c r="Z35" s="2994"/>
      <c r="AA35" s="2994"/>
      <c r="AB35" s="2994"/>
      <c r="AC35" s="2994"/>
      <c r="AD35" s="2994"/>
      <c r="AE35" s="2994"/>
      <c r="AF35" s="2994"/>
      <c r="AG35" s="2994"/>
      <c r="AH35" s="2994"/>
      <c r="AI35" s="2994"/>
      <c r="AJ35" s="2994"/>
      <c r="AK35" s="2994"/>
      <c r="AL35" s="2994"/>
      <c r="AM35" s="2994"/>
      <c r="AN35" s="2994"/>
      <c r="AO35" s="3000"/>
      <c r="AP35" s="3000"/>
      <c r="AQ35" s="3002"/>
      <c r="AR35" s="1381"/>
      <c r="AS35" s="1381"/>
      <c r="AT35" s="1381"/>
      <c r="AU35" s="1381"/>
    </row>
    <row r="36" spans="1:47" ht="27" customHeight="1" x14ac:dyDescent="0.2">
      <c r="A36" s="1425"/>
      <c r="B36" s="1426"/>
      <c r="C36" s="1427"/>
      <c r="D36" s="2977"/>
      <c r="E36" s="2978"/>
      <c r="F36" s="2978"/>
      <c r="G36" s="1428" t="s">
        <v>1229</v>
      </c>
      <c r="H36" s="1429" t="s">
        <v>1230</v>
      </c>
      <c r="I36" s="1395"/>
      <c r="J36" s="1395"/>
      <c r="K36" s="1395"/>
      <c r="L36" s="1395"/>
      <c r="M36" s="1395"/>
      <c r="N36" s="1397"/>
      <c r="O36" s="1395"/>
      <c r="P36" s="1395"/>
      <c r="Q36" s="1395"/>
      <c r="R36" s="1430"/>
      <c r="S36" s="1395"/>
      <c r="T36" s="1395"/>
      <c r="U36" s="1431"/>
      <c r="V36" s="1432"/>
      <c r="W36" s="1431"/>
      <c r="X36" s="1433"/>
      <c r="Y36" s="1395"/>
      <c r="Z36" s="1395"/>
      <c r="AA36" s="1395"/>
      <c r="AB36" s="1395"/>
      <c r="AC36" s="1395"/>
      <c r="AD36" s="1395"/>
      <c r="AE36" s="1395"/>
      <c r="AF36" s="1395"/>
      <c r="AG36" s="1395"/>
      <c r="AH36" s="1395"/>
      <c r="AI36" s="1395"/>
      <c r="AJ36" s="1395"/>
      <c r="AK36" s="1395"/>
      <c r="AL36" s="1395"/>
      <c r="AM36" s="1395"/>
      <c r="AN36" s="1395"/>
      <c r="AO36" s="1434"/>
      <c r="AP36" s="1395"/>
      <c r="AQ36" s="1435"/>
      <c r="AR36" s="1381"/>
      <c r="AS36" s="1381"/>
      <c r="AT36" s="1381"/>
      <c r="AU36" s="1381"/>
    </row>
    <row r="37" spans="1:47" ht="45" x14ac:dyDescent="0.2">
      <c r="A37" s="1425"/>
      <c r="B37" s="1426"/>
      <c r="C37" s="1427"/>
      <c r="D37" s="2980"/>
      <c r="E37" s="2981"/>
      <c r="F37" s="2981"/>
      <c r="G37" s="2977"/>
      <c r="H37" s="2978"/>
      <c r="I37" s="2979"/>
      <c r="J37" s="3022">
        <v>57</v>
      </c>
      <c r="K37" s="2910" t="s">
        <v>1231</v>
      </c>
      <c r="L37" s="2910" t="s">
        <v>1232</v>
      </c>
      <c r="M37" s="2997">
        <v>12</v>
      </c>
      <c r="N37" s="3011" t="s">
        <v>1233</v>
      </c>
      <c r="O37" s="2997" t="s">
        <v>1234</v>
      </c>
      <c r="P37" s="2910" t="s">
        <v>1235</v>
      </c>
      <c r="Q37" s="3015">
        <f>SUM(V37:V41)/R37</f>
        <v>0.21473347171373725</v>
      </c>
      <c r="R37" s="3003">
        <f>SUM(V37:V55)</f>
        <v>20985340781</v>
      </c>
      <c r="S37" s="2910" t="s">
        <v>1236</v>
      </c>
      <c r="T37" s="2989" t="s">
        <v>1237</v>
      </c>
      <c r="U37" s="1436" t="s">
        <v>1238</v>
      </c>
      <c r="V37" s="1437">
        <v>174840000</v>
      </c>
      <c r="W37" s="1350" t="s">
        <v>1155</v>
      </c>
      <c r="X37" s="1438" t="s">
        <v>1239</v>
      </c>
      <c r="Y37" s="3005">
        <v>294321</v>
      </c>
      <c r="Z37" s="3005">
        <v>283947</v>
      </c>
      <c r="AA37" s="3005">
        <v>135754</v>
      </c>
      <c r="AB37" s="3005">
        <v>44640</v>
      </c>
      <c r="AC37" s="3005">
        <v>308178</v>
      </c>
      <c r="AD37" s="3005">
        <v>89696</v>
      </c>
      <c r="AE37" s="3005">
        <v>2145</v>
      </c>
      <c r="AF37" s="3005">
        <v>12178</v>
      </c>
      <c r="AG37" s="3005">
        <v>26</v>
      </c>
      <c r="AH37" s="3005">
        <v>37</v>
      </c>
      <c r="AI37" s="3005">
        <v>0</v>
      </c>
      <c r="AJ37" s="3005">
        <v>0</v>
      </c>
      <c r="AK37" s="3011">
        <v>54612</v>
      </c>
      <c r="AL37" s="3011">
        <v>21944</v>
      </c>
      <c r="AM37" s="3018">
        <v>1010</v>
      </c>
      <c r="AN37" s="3018">
        <v>578268</v>
      </c>
      <c r="AO37" s="2999">
        <v>43466</v>
      </c>
      <c r="AP37" s="2999">
        <v>43830</v>
      </c>
      <c r="AQ37" s="3018" t="s">
        <v>1157</v>
      </c>
      <c r="AR37" s="1381"/>
      <c r="AS37" s="1381"/>
      <c r="AT37" s="1381"/>
      <c r="AU37" s="1381"/>
    </row>
    <row r="38" spans="1:47" ht="30" x14ac:dyDescent="0.2">
      <c r="A38" s="1425"/>
      <c r="B38" s="1426"/>
      <c r="C38" s="1427"/>
      <c r="D38" s="2980"/>
      <c r="E38" s="2981"/>
      <c r="F38" s="2981"/>
      <c r="G38" s="2980"/>
      <c r="H38" s="2981"/>
      <c r="I38" s="2982"/>
      <c r="J38" s="3023"/>
      <c r="K38" s="2911"/>
      <c r="L38" s="2911"/>
      <c r="M38" s="2998"/>
      <c r="N38" s="3012"/>
      <c r="O38" s="2998"/>
      <c r="P38" s="2911"/>
      <c r="Q38" s="3016"/>
      <c r="R38" s="3004"/>
      <c r="S38" s="2911"/>
      <c r="T38" s="2990"/>
      <c r="U38" s="1436" t="s">
        <v>1240</v>
      </c>
      <c r="V38" s="1437">
        <v>1025160000</v>
      </c>
      <c r="W38" s="1350" t="s">
        <v>1155</v>
      </c>
      <c r="X38" s="1438" t="s">
        <v>1239</v>
      </c>
      <c r="Y38" s="3006"/>
      <c r="Z38" s="3006"/>
      <c r="AA38" s="3006"/>
      <c r="AB38" s="3006"/>
      <c r="AC38" s="3006"/>
      <c r="AD38" s="3006"/>
      <c r="AE38" s="3006"/>
      <c r="AF38" s="3006"/>
      <c r="AG38" s="3006"/>
      <c r="AH38" s="3006"/>
      <c r="AI38" s="3006"/>
      <c r="AJ38" s="3006"/>
      <c r="AK38" s="3012"/>
      <c r="AL38" s="3012"/>
      <c r="AM38" s="3019"/>
      <c r="AN38" s="3019"/>
      <c r="AO38" s="3000"/>
      <c r="AP38" s="3000"/>
      <c r="AQ38" s="3019"/>
      <c r="AR38" s="1381"/>
      <c r="AS38" s="1381"/>
      <c r="AT38" s="1381"/>
      <c r="AU38" s="1381"/>
    </row>
    <row r="39" spans="1:47" ht="30" x14ac:dyDescent="0.2">
      <c r="A39" s="1425"/>
      <c r="B39" s="1426"/>
      <c r="C39" s="1427"/>
      <c r="D39" s="2980"/>
      <c r="E39" s="2981"/>
      <c r="F39" s="2981"/>
      <c r="G39" s="2980"/>
      <c r="H39" s="2981"/>
      <c r="I39" s="2982"/>
      <c r="J39" s="3023"/>
      <c r="K39" s="2911"/>
      <c r="L39" s="2911"/>
      <c r="M39" s="2998"/>
      <c r="N39" s="3012"/>
      <c r="O39" s="2998"/>
      <c r="P39" s="2911"/>
      <c r="Q39" s="3016"/>
      <c r="R39" s="3004"/>
      <c r="S39" s="2911"/>
      <c r="T39" s="2990"/>
      <c r="U39" s="3020" t="s">
        <v>1241</v>
      </c>
      <c r="V39" s="1437">
        <v>1500000000</v>
      </c>
      <c r="W39" s="1350" t="s">
        <v>1155</v>
      </c>
      <c r="X39" s="1438" t="s">
        <v>1239</v>
      </c>
      <c r="Y39" s="3006"/>
      <c r="Z39" s="3006"/>
      <c r="AA39" s="3006"/>
      <c r="AB39" s="3006"/>
      <c r="AC39" s="3006"/>
      <c r="AD39" s="3006"/>
      <c r="AE39" s="3006"/>
      <c r="AF39" s="3006"/>
      <c r="AG39" s="3006"/>
      <c r="AH39" s="3006"/>
      <c r="AI39" s="3006"/>
      <c r="AJ39" s="3006"/>
      <c r="AK39" s="3012"/>
      <c r="AL39" s="3012"/>
      <c r="AM39" s="3019"/>
      <c r="AN39" s="3019"/>
      <c r="AO39" s="3000"/>
      <c r="AP39" s="3000"/>
      <c r="AQ39" s="3019"/>
      <c r="AR39" s="1381"/>
      <c r="AS39" s="1381"/>
      <c r="AT39" s="1381"/>
      <c r="AU39" s="1381"/>
    </row>
    <row r="40" spans="1:47" ht="30" x14ac:dyDescent="0.2">
      <c r="A40" s="1425"/>
      <c r="B40" s="1426"/>
      <c r="C40" s="1427"/>
      <c r="D40" s="2980"/>
      <c r="E40" s="2981"/>
      <c r="F40" s="2981"/>
      <c r="G40" s="2980"/>
      <c r="H40" s="2981"/>
      <c r="I40" s="2982"/>
      <c r="J40" s="3023"/>
      <c r="K40" s="2911"/>
      <c r="L40" s="2911"/>
      <c r="M40" s="2998"/>
      <c r="N40" s="3012"/>
      <c r="O40" s="2998"/>
      <c r="P40" s="2911"/>
      <c r="Q40" s="3016"/>
      <c r="R40" s="3004"/>
      <c r="S40" s="2911"/>
      <c r="T40" s="2990"/>
      <c r="U40" s="3021"/>
      <c r="V40" s="1437">
        <v>1706255081</v>
      </c>
      <c r="W40" s="1350" t="s">
        <v>1160</v>
      </c>
      <c r="X40" s="1438" t="s">
        <v>1242</v>
      </c>
      <c r="Y40" s="3006"/>
      <c r="Z40" s="3006"/>
      <c r="AA40" s="3006"/>
      <c r="AB40" s="3006"/>
      <c r="AC40" s="3006"/>
      <c r="AD40" s="3006"/>
      <c r="AE40" s="3006"/>
      <c r="AF40" s="3006"/>
      <c r="AG40" s="3006"/>
      <c r="AH40" s="3006"/>
      <c r="AI40" s="3006"/>
      <c r="AJ40" s="3006"/>
      <c r="AK40" s="3012"/>
      <c r="AL40" s="3012"/>
      <c r="AM40" s="3019"/>
      <c r="AN40" s="3019"/>
      <c r="AO40" s="3000"/>
      <c r="AP40" s="3000"/>
      <c r="AQ40" s="3019"/>
      <c r="AR40" s="1381"/>
      <c r="AS40" s="1381"/>
      <c r="AT40" s="1381"/>
      <c r="AU40" s="1381"/>
    </row>
    <row r="41" spans="1:47" ht="45" x14ac:dyDescent="0.2">
      <c r="A41" s="1425"/>
      <c r="B41" s="1426"/>
      <c r="C41" s="1427"/>
      <c r="D41" s="2980"/>
      <c r="E41" s="2981"/>
      <c r="F41" s="2981"/>
      <c r="G41" s="2980"/>
      <c r="H41" s="2981"/>
      <c r="I41" s="2982"/>
      <c r="J41" s="3023"/>
      <c r="K41" s="2911"/>
      <c r="L41" s="2911"/>
      <c r="M41" s="2998"/>
      <c r="N41" s="3012"/>
      <c r="O41" s="2998"/>
      <c r="P41" s="2911"/>
      <c r="Q41" s="3016"/>
      <c r="R41" s="3004"/>
      <c r="S41" s="2911"/>
      <c r="T41" s="2990"/>
      <c r="U41" s="1436" t="s">
        <v>1243</v>
      </c>
      <c r="V41" s="1437">
        <v>100000000</v>
      </c>
      <c r="W41" s="1350" t="s">
        <v>1155</v>
      </c>
      <c r="X41" s="1438" t="s">
        <v>1239</v>
      </c>
      <c r="Y41" s="3006"/>
      <c r="Z41" s="3006"/>
      <c r="AA41" s="3006"/>
      <c r="AB41" s="3006"/>
      <c r="AC41" s="3006"/>
      <c r="AD41" s="3006"/>
      <c r="AE41" s="3006"/>
      <c r="AF41" s="3006"/>
      <c r="AG41" s="3006"/>
      <c r="AH41" s="3006"/>
      <c r="AI41" s="3006"/>
      <c r="AJ41" s="3006"/>
      <c r="AK41" s="3012"/>
      <c r="AL41" s="3012"/>
      <c r="AM41" s="3019"/>
      <c r="AN41" s="3019"/>
      <c r="AO41" s="3000"/>
      <c r="AP41" s="3000"/>
      <c r="AQ41" s="3019"/>
      <c r="AR41" s="1381"/>
      <c r="AS41" s="1381"/>
      <c r="AT41" s="1381"/>
      <c r="AU41" s="1381"/>
    </row>
    <row r="42" spans="1:47" ht="15" x14ac:dyDescent="0.2">
      <c r="A42" s="1439"/>
      <c r="B42" s="1440"/>
      <c r="C42" s="1441"/>
      <c r="D42" s="2980"/>
      <c r="E42" s="2981"/>
      <c r="F42" s="2981"/>
      <c r="G42" s="2980"/>
      <c r="H42" s="2981"/>
      <c r="I42" s="2982"/>
      <c r="J42" s="3022">
        <v>58</v>
      </c>
      <c r="K42" s="3009" t="s">
        <v>1244</v>
      </c>
      <c r="L42" s="3009" t="s">
        <v>1245</v>
      </c>
      <c r="M42" s="3011">
        <v>1</v>
      </c>
      <c r="N42" s="3012"/>
      <c r="O42" s="2998"/>
      <c r="P42" s="2911"/>
      <c r="Q42" s="3025">
        <f>SUM(V42:V43)/R37</f>
        <v>0.23739549507390009</v>
      </c>
      <c r="R42" s="3004"/>
      <c r="S42" s="2911"/>
      <c r="T42" s="2990"/>
      <c r="U42" s="1424" t="s">
        <v>1246</v>
      </c>
      <c r="V42" s="1442">
        <v>4181825364</v>
      </c>
      <c r="W42" s="1443">
        <v>46</v>
      </c>
      <c r="X42" s="1444" t="s">
        <v>1214</v>
      </c>
      <c r="Y42" s="3006"/>
      <c r="Z42" s="3006"/>
      <c r="AA42" s="3006"/>
      <c r="AB42" s="3006"/>
      <c r="AC42" s="3006"/>
      <c r="AD42" s="3006"/>
      <c r="AE42" s="3006"/>
      <c r="AF42" s="3006"/>
      <c r="AG42" s="3006"/>
      <c r="AH42" s="3006"/>
      <c r="AI42" s="3006"/>
      <c r="AJ42" s="3006"/>
      <c r="AK42" s="3012"/>
      <c r="AL42" s="3012"/>
      <c r="AM42" s="3019"/>
      <c r="AN42" s="3019"/>
      <c r="AO42" s="3000"/>
      <c r="AP42" s="3000"/>
      <c r="AQ42" s="3019"/>
      <c r="AR42" s="1445"/>
      <c r="AS42" s="1445"/>
      <c r="AT42" s="1445"/>
      <c r="AU42" s="1445"/>
    </row>
    <row r="43" spans="1:47" ht="60" customHeight="1" x14ac:dyDescent="0.2">
      <c r="A43" s="1439"/>
      <c r="B43" s="1440"/>
      <c r="C43" s="1441"/>
      <c r="D43" s="2980"/>
      <c r="E43" s="2981"/>
      <c r="F43" s="2981"/>
      <c r="G43" s="2980"/>
      <c r="H43" s="2981"/>
      <c r="I43" s="2982"/>
      <c r="J43" s="3023"/>
      <c r="K43" s="3024"/>
      <c r="L43" s="3024"/>
      <c r="M43" s="3012"/>
      <c r="N43" s="3012"/>
      <c r="O43" s="2998"/>
      <c r="P43" s="2911"/>
      <c r="Q43" s="3026"/>
      <c r="R43" s="3004"/>
      <c r="S43" s="2911"/>
      <c r="T43" s="2990"/>
      <c r="U43" s="1424" t="s">
        <v>1247</v>
      </c>
      <c r="V43" s="1442">
        <v>800000000</v>
      </c>
      <c r="W43" s="1443">
        <v>46</v>
      </c>
      <c r="X43" s="1444" t="s">
        <v>1214</v>
      </c>
      <c r="Y43" s="3006"/>
      <c r="Z43" s="3006"/>
      <c r="AA43" s="3006"/>
      <c r="AB43" s="3006"/>
      <c r="AC43" s="3006"/>
      <c r="AD43" s="3006"/>
      <c r="AE43" s="3006"/>
      <c r="AF43" s="3006"/>
      <c r="AG43" s="3006"/>
      <c r="AH43" s="3006"/>
      <c r="AI43" s="3006"/>
      <c r="AJ43" s="3006"/>
      <c r="AK43" s="3012"/>
      <c r="AL43" s="3012"/>
      <c r="AM43" s="3019"/>
      <c r="AN43" s="3019"/>
      <c r="AO43" s="3000"/>
      <c r="AP43" s="3000"/>
      <c r="AQ43" s="3019"/>
      <c r="AR43" s="1445"/>
      <c r="AS43" s="1445"/>
      <c r="AT43" s="1445"/>
      <c r="AU43" s="1445"/>
    </row>
    <row r="44" spans="1:47" ht="56.25" customHeight="1" x14ac:dyDescent="0.2">
      <c r="A44" s="1439"/>
      <c r="B44" s="1440"/>
      <c r="C44" s="1441"/>
      <c r="D44" s="2980"/>
      <c r="E44" s="2981"/>
      <c r="F44" s="2981"/>
      <c r="G44" s="2980"/>
      <c r="H44" s="2981"/>
      <c r="I44" s="2982"/>
      <c r="J44" s="3027">
        <v>59</v>
      </c>
      <c r="K44" s="3030" t="s">
        <v>1248</v>
      </c>
      <c r="L44" s="3039" t="s">
        <v>1249</v>
      </c>
      <c r="M44" s="3039">
        <v>12</v>
      </c>
      <c r="N44" s="3013"/>
      <c r="O44" s="2998"/>
      <c r="P44" s="2911"/>
      <c r="Q44" s="3015">
        <f>SUM(V44:V49)/R37</f>
        <v>0.17030580114456897</v>
      </c>
      <c r="R44" s="3004"/>
      <c r="S44" s="2911"/>
      <c r="T44" s="2990"/>
      <c r="U44" s="1424" t="s">
        <v>1250</v>
      </c>
      <c r="V44" s="1442">
        <v>225000000</v>
      </c>
      <c r="W44" s="1446" t="s">
        <v>1155</v>
      </c>
      <c r="X44" s="1447" t="s">
        <v>1251</v>
      </c>
      <c r="Y44" s="3006"/>
      <c r="Z44" s="3006"/>
      <c r="AA44" s="3006"/>
      <c r="AB44" s="3006"/>
      <c r="AC44" s="3006"/>
      <c r="AD44" s="3006"/>
      <c r="AE44" s="3006"/>
      <c r="AF44" s="3006"/>
      <c r="AG44" s="3006"/>
      <c r="AH44" s="3006"/>
      <c r="AI44" s="3006"/>
      <c r="AJ44" s="3006"/>
      <c r="AK44" s="3012"/>
      <c r="AL44" s="3012"/>
      <c r="AM44" s="3019"/>
      <c r="AN44" s="3019"/>
      <c r="AO44" s="3000"/>
      <c r="AP44" s="3000"/>
      <c r="AQ44" s="3019"/>
      <c r="AR44" s="1445"/>
      <c r="AS44" s="1445"/>
      <c r="AT44" s="1445"/>
      <c r="AU44" s="1445"/>
    </row>
    <row r="45" spans="1:47" ht="45" x14ac:dyDescent="0.2">
      <c r="A45" s="1439"/>
      <c r="B45" s="1440"/>
      <c r="C45" s="1441"/>
      <c r="D45" s="2980"/>
      <c r="E45" s="2981"/>
      <c r="F45" s="2981"/>
      <c r="G45" s="2980"/>
      <c r="H45" s="2981"/>
      <c r="I45" s="2982"/>
      <c r="J45" s="3028"/>
      <c r="K45" s="3031"/>
      <c r="L45" s="3039"/>
      <c r="M45" s="3039"/>
      <c r="N45" s="3013"/>
      <c r="O45" s="2998"/>
      <c r="P45" s="2911"/>
      <c r="Q45" s="3016"/>
      <c r="R45" s="3004"/>
      <c r="S45" s="2911"/>
      <c r="T45" s="2990"/>
      <c r="U45" s="3008" t="s">
        <v>1252</v>
      </c>
      <c r="V45" s="1442">
        <v>383410000</v>
      </c>
      <c r="W45" s="1446" t="s">
        <v>1155</v>
      </c>
      <c r="X45" s="1444" t="s">
        <v>1251</v>
      </c>
      <c r="Y45" s="3006"/>
      <c r="Z45" s="3006"/>
      <c r="AA45" s="3006"/>
      <c r="AB45" s="3006"/>
      <c r="AC45" s="3006"/>
      <c r="AD45" s="3006"/>
      <c r="AE45" s="3006"/>
      <c r="AF45" s="3006"/>
      <c r="AG45" s="3006"/>
      <c r="AH45" s="3006"/>
      <c r="AI45" s="3006"/>
      <c r="AJ45" s="3006"/>
      <c r="AK45" s="3012"/>
      <c r="AL45" s="3012"/>
      <c r="AM45" s="3019"/>
      <c r="AN45" s="3019"/>
      <c r="AO45" s="3000"/>
      <c r="AP45" s="3000"/>
      <c r="AQ45" s="3019"/>
      <c r="AR45" s="1445"/>
      <c r="AS45" s="1445"/>
      <c r="AT45" s="1445"/>
      <c r="AU45" s="1445"/>
    </row>
    <row r="46" spans="1:47" ht="30" x14ac:dyDescent="0.2">
      <c r="A46" s="1439"/>
      <c r="B46" s="1440"/>
      <c r="C46" s="1441"/>
      <c r="D46" s="2980"/>
      <c r="E46" s="2981"/>
      <c r="F46" s="2981"/>
      <c r="G46" s="2980"/>
      <c r="H46" s="2981"/>
      <c r="I46" s="2982"/>
      <c r="J46" s="3028"/>
      <c r="K46" s="3031"/>
      <c r="L46" s="3039"/>
      <c r="M46" s="3039"/>
      <c r="N46" s="3013"/>
      <c r="O46" s="2998"/>
      <c r="P46" s="2911"/>
      <c r="Q46" s="3016"/>
      <c r="R46" s="3004"/>
      <c r="S46" s="2911"/>
      <c r="T46" s="2990"/>
      <c r="U46" s="2996"/>
      <c r="V46" s="1442">
        <v>246521300</v>
      </c>
      <c r="W46" s="1446" t="s">
        <v>1160</v>
      </c>
      <c r="X46" s="1438" t="s">
        <v>1242</v>
      </c>
      <c r="Y46" s="3006"/>
      <c r="Z46" s="3006"/>
      <c r="AA46" s="3006"/>
      <c r="AB46" s="3006"/>
      <c r="AC46" s="3006"/>
      <c r="AD46" s="3006"/>
      <c r="AE46" s="3006"/>
      <c r="AF46" s="3006"/>
      <c r="AG46" s="3006"/>
      <c r="AH46" s="3006"/>
      <c r="AI46" s="3006"/>
      <c r="AJ46" s="3006"/>
      <c r="AK46" s="3012"/>
      <c r="AL46" s="3012"/>
      <c r="AM46" s="3019"/>
      <c r="AN46" s="3019"/>
      <c r="AO46" s="3000"/>
      <c r="AP46" s="3000"/>
      <c r="AQ46" s="3019"/>
      <c r="AR46" s="1445"/>
      <c r="AS46" s="1445"/>
      <c r="AT46" s="1445"/>
      <c r="AU46" s="1445"/>
    </row>
    <row r="47" spans="1:47" ht="45" x14ac:dyDescent="0.2">
      <c r="A47" s="1439"/>
      <c r="B47" s="1440"/>
      <c r="C47" s="1441"/>
      <c r="D47" s="2980"/>
      <c r="E47" s="2981"/>
      <c r="F47" s="2981"/>
      <c r="G47" s="2980"/>
      <c r="H47" s="2981"/>
      <c r="I47" s="2982"/>
      <c r="J47" s="3028"/>
      <c r="K47" s="3031"/>
      <c r="L47" s="3039"/>
      <c r="M47" s="3039"/>
      <c r="N47" s="3013"/>
      <c r="O47" s="2998"/>
      <c r="P47" s="2911"/>
      <c r="Q47" s="3016"/>
      <c r="R47" s="3004"/>
      <c r="S47" s="2911"/>
      <c r="T47" s="2990"/>
      <c r="U47" s="3009" t="s">
        <v>1253</v>
      </c>
      <c r="V47" s="1442">
        <v>2018993974</v>
      </c>
      <c r="W47" s="1446" t="s">
        <v>1155</v>
      </c>
      <c r="X47" s="1444" t="s">
        <v>1251</v>
      </c>
      <c r="Y47" s="3006"/>
      <c r="Z47" s="3006"/>
      <c r="AA47" s="3006"/>
      <c r="AB47" s="3006"/>
      <c r="AC47" s="3006"/>
      <c r="AD47" s="3006"/>
      <c r="AE47" s="3006"/>
      <c r="AF47" s="3006"/>
      <c r="AG47" s="3006"/>
      <c r="AH47" s="3006"/>
      <c r="AI47" s="3006"/>
      <c r="AJ47" s="3006"/>
      <c r="AK47" s="3012"/>
      <c r="AL47" s="3012"/>
      <c r="AM47" s="3019"/>
      <c r="AN47" s="3019"/>
      <c r="AO47" s="3000"/>
      <c r="AP47" s="3000"/>
      <c r="AQ47" s="3019"/>
      <c r="AR47" s="1445"/>
      <c r="AS47" s="1445"/>
      <c r="AT47" s="1445"/>
      <c r="AU47" s="1445"/>
    </row>
    <row r="48" spans="1:47" ht="15" x14ac:dyDescent="0.2">
      <c r="A48" s="1439"/>
      <c r="B48" s="1440"/>
      <c r="C48" s="1441"/>
      <c r="D48" s="2980"/>
      <c r="E48" s="2981"/>
      <c r="F48" s="2981"/>
      <c r="G48" s="2980"/>
      <c r="H48" s="2981"/>
      <c r="I48" s="2982"/>
      <c r="J48" s="3028"/>
      <c r="K48" s="3031"/>
      <c r="L48" s="3039"/>
      <c r="M48" s="3039"/>
      <c r="N48" s="3013"/>
      <c r="O48" s="2998"/>
      <c r="P48" s="2911"/>
      <c r="Q48" s="3016"/>
      <c r="R48" s="3004"/>
      <c r="S48" s="2911"/>
      <c r="T48" s="2990"/>
      <c r="U48" s="3010"/>
      <c r="V48" s="1442">
        <v>600000000</v>
      </c>
      <c r="W48" s="1443">
        <v>46</v>
      </c>
      <c r="X48" s="1444" t="s">
        <v>1214</v>
      </c>
      <c r="Y48" s="3006"/>
      <c r="Z48" s="3006"/>
      <c r="AA48" s="3006"/>
      <c r="AB48" s="3006"/>
      <c r="AC48" s="3006"/>
      <c r="AD48" s="3006"/>
      <c r="AE48" s="3006"/>
      <c r="AF48" s="3006"/>
      <c r="AG48" s="3006"/>
      <c r="AH48" s="3006"/>
      <c r="AI48" s="3006"/>
      <c r="AJ48" s="3006"/>
      <c r="AK48" s="3012"/>
      <c r="AL48" s="3012"/>
      <c r="AM48" s="3019"/>
      <c r="AN48" s="3019"/>
      <c r="AO48" s="3000"/>
      <c r="AP48" s="3000"/>
      <c r="AQ48" s="3019"/>
      <c r="AR48" s="1445"/>
      <c r="AS48" s="1445"/>
      <c r="AT48" s="1445"/>
      <c r="AU48" s="1445"/>
    </row>
    <row r="49" spans="1:47" ht="67.5" customHeight="1" x14ac:dyDescent="0.2">
      <c r="A49" s="1425"/>
      <c r="B49" s="1426"/>
      <c r="C49" s="1427"/>
      <c r="D49" s="2980"/>
      <c r="E49" s="2981"/>
      <c r="F49" s="2981"/>
      <c r="G49" s="2980"/>
      <c r="H49" s="2981"/>
      <c r="I49" s="2982"/>
      <c r="J49" s="3029"/>
      <c r="K49" s="3032"/>
      <c r="L49" s="3039"/>
      <c r="M49" s="3039"/>
      <c r="N49" s="3013"/>
      <c r="O49" s="2998"/>
      <c r="P49" s="2911"/>
      <c r="Q49" s="3017"/>
      <c r="R49" s="3004"/>
      <c r="S49" s="2911"/>
      <c r="T49" s="2990"/>
      <c r="U49" s="1424" t="s">
        <v>1254</v>
      </c>
      <c r="V49" s="1448">
        <v>100000000</v>
      </c>
      <c r="W49" s="1446" t="s">
        <v>1155</v>
      </c>
      <c r="X49" s="1444" t="s">
        <v>1251</v>
      </c>
      <c r="Y49" s="3006"/>
      <c r="Z49" s="3006"/>
      <c r="AA49" s="3006"/>
      <c r="AB49" s="3006"/>
      <c r="AC49" s="3006"/>
      <c r="AD49" s="3006"/>
      <c r="AE49" s="3006"/>
      <c r="AF49" s="3006"/>
      <c r="AG49" s="3006"/>
      <c r="AH49" s="3006"/>
      <c r="AI49" s="3006"/>
      <c r="AJ49" s="3006"/>
      <c r="AK49" s="3012"/>
      <c r="AL49" s="3012"/>
      <c r="AM49" s="3019"/>
      <c r="AN49" s="3019"/>
      <c r="AO49" s="3000"/>
      <c r="AP49" s="3000"/>
      <c r="AQ49" s="3019"/>
      <c r="AR49" s="1381"/>
      <c r="AS49" s="1381"/>
      <c r="AT49" s="1381"/>
      <c r="AU49" s="1381"/>
    </row>
    <row r="50" spans="1:47" ht="45" x14ac:dyDescent="0.2">
      <c r="A50" s="1425"/>
      <c r="B50" s="1426"/>
      <c r="C50" s="1427"/>
      <c r="D50" s="2980"/>
      <c r="E50" s="2981"/>
      <c r="F50" s="2981"/>
      <c r="G50" s="2980"/>
      <c r="H50" s="2981"/>
      <c r="I50" s="2982"/>
      <c r="J50" s="3028">
        <v>60</v>
      </c>
      <c r="K50" s="3009" t="s">
        <v>1255</v>
      </c>
      <c r="L50" s="2911" t="s">
        <v>1256</v>
      </c>
      <c r="M50" s="2998">
        <v>12</v>
      </c>
      <c r="N50" s="3012"/>
      <c r="O50" s="2998"/>
      <c r="P50" s="2911"/>
      <c r="Q50" s="3015">
        <f>SUM(V50:V51)/R37</f>
        <v>0.18553535811651778</v>
      </c>
      <c r="R50" s="3004"/>
      <c r="S50" s="2911"/>
      <c r="T50" s="2990"/>
      <c r="U50" s="1424" t="s">
        <v>1257</v>
      </c>
      <c r="V50" s="1448">
        <v>224581000</v>
      </c>
      <c r="W50" s="1443">
        <v>20</v>
      </c>
      <c r="X50" s="1444" t="s">
        <v>1258</v>
      </c>
      <c r="Y50" s="3006"/>
      <c r="Z50" s="3006"/>
      <c r="AA50" s="3006"/>
      <c r="AB50" s="3006"/>
      <c r="AC50" s="3006"/>
      <c r="AD50" s="3006"/>
      <c r="AE50" s="3006"/>
      <c r="AF50" s="3006"/>
      <c r="AG50" s="3006"/>
      <c r="AH50" s="3006"/>
      <c r="AI50" s="3006"/>
      <c r="AJ50" s="3006"/>
      <c r="AK50" s="3012"/>
      <c r="AL50" s="3012"/>
      <c r="AM50" s="3019"/>
      <c r="AN50" s="3019"/>
      <c r="AO50" s="3000"/>
      <c r="AP50" s="3000"/>
      <c r="AQ50" s="3019"/>
    </row>
    <row r="51" spans="1:47" ht="50.25" customHeight="1" x14ac:dyDescent="0.2">
      <c r="A51" s="1425"/>
      <c r="B51" s="1426"/>
      <c r="C51" s="1427"/>
      <c r="D51" s="2980"/>
      <c r="E51" s="2981"/>
      <c r="F51" s="2981"/>
      <c r="G51" s="2980"/>
      <c r="H51" s="2981"/>
      <c r="I51" s="2982"/>
      <c r="J51" s="3029"/>
      <c r="K51" s="3010"/>
      <c r="L51" s="2912"/>
      <c r="M51" s="3036"/>
      <c r="N51" s="3012"/>
      <c r="O51" s="2998"/>
      <c r="P51" s="2911"/>
      <c r="Q51" s="3017"/>
      <c r="R51" s="3004"/>
      <c r="S51" s="2911"/>
      <c r="T51" s="2990"/>
      <c r="U51" s="1424" t="s">
        <v>1259</v>
      </c>
      <c r="V51" s="1448">
        <v>3668941717</v>
      </c>
      <c r="W51" s="1443">
        <v>46</v>
      </c>
      <c r="X51" s="1444" t="s">
        <v>1214</v>
      </c>
      <c r="Y51" s="3006"/>
      <c r="Z51" s="3006"/>
      <c r="AA51" s="3006"/>
      <c r="AB51" s="3006"/>
      <c r="AC51" s="3006"/>
      <c r="AD51" s="3006"/>
      <c r="AE51" s="3006"/>
      <c r="AF51" s="3006"/>
      <c r="AG51" s="3006"/>
      <c r="AH51" s="3006"/>
      <c r="AI51" s="3006"/>
      <c r="AJ51" s="3006"/>
      <c r="AK51" s="3012"/>
      <c r="AL51" s="3012"/>
      <c r="AM51" s="3019"/>
      <c r="AN51" s="3019"/>
      <c r="AO51" s="3000"/>
      <c r="AP51" s="3000"/>
      <c r="AQ51" s="3019"/>
    </row>
    <row r="52" spans="1:47" ht="60" x14ac:dyDescent="0.2">
      <c r="A52" s="1425"/>
      <c r="B52" s="1426"/>
      <c r="C52" s="1427"/>
      <c r="D52" s="2980"/>
      <c r="E52" s="2981"/>
      <c r="F52" s="2981"/>
      <c r="G52" s="2980"/>
      <c r="H52" s="2981"/>
      <c r="I52" s="2982"/>
      <c r="J52" s="3037">
        <v>62</v>
      </c>
      <c r="K52" s="2910" t="s">
        <v>1260</v>
      </c>
      <c r="L52" s="2910" t="s">
        <v>1261</v>
      </c>
      <c r="M52" s="2997">
        <v>2</v>
      </c>
      <c r="N52" s="3012"/>
      <c r="O52" s="2998"/>
      <c r="P52" s="2911"/>
      <c r="Q52" s="3015">
        <f>SUM(V52:V53)/R37</f>
        <v>4.765231169871656E-2</v>
      </c>
      <c r="R52" s="3004"/>
      <c r="S52" s="2911"/>
      <c r="T52" s="2990"/>
      <c r="U52" s="1424" t="s">
        <v>1262</v>
      </c>
      <c r="V52" s="1448">
        <v>820000000</v>
      </c>
      <c r="W52" s="1443">
        <v>46</v>
      </c>
      <c r="X52" s="1444" t="s">
        <v>1224</v>
      </c>
      <c r="Y52" s="3006"/>
      <c r="Z52" s="3006"/>
      <c r="AA52" s="3006"/>
      <c r="AB52" s="3006"/>
      <c r="AC52" s="3006"/>
      <c r="AD52" s="3006"/>
      <c r="AE52" s="3006"/>
      <c r="AF52" s="3006"/>
      <c r="AG52" s="3006"/>
      <c r="AH52" s="3006"/>
      <c r="AI52" s="3006"/>
      <c r="AJ52" s="3006"/>
      <c r="AK52" s="3012"/>
      <c r="AL52" s="3012"/>
      <c r="AM52" s="3019"/>
      <c r="AN52" s="3019"/>
      <c r="AO52" s="3000"/>
      <c r="AP52" s="3000"/>
      <c r="AQ52" s="3019"/>
    </row>
    <row r="53" spans="1:47" ht="75" x14ac:dyDescent="0.2">
      <c r="A53" s="1425"/>
      <c r="B53" s="1426"/>
      <c r="C53" s="1427"/>
      <c r="D53" s="2980"/>
      <c r="E53" s="2981"/>
      <c r="F53" s="2981"/>
      <c r="G53" s="2980"/>
      <c r="H53" s="2981"/>
      <c r="I53" s="2982"/>
      <c r="J53" s="3038"/>
      <c r="K53" s="2911"/>
      <c r="L53" s="2911"/>
      <c r="M53" s="2998"/>
      <c r="N53" s="3012"/>
      <c r="O53" s="2998"/>
      <c r="P53" s="2911"/>
      <c r="Q53" s="3016"/>
      <c r="R53" s="3004"/>
      <c r="S53" s="2911"/>
      <c r="T53" s="2990"/>
      <c r="U53" s="1424" t="s">
        <v>1263</v>
      </c>
      <c r="V53" s="1448">
        <v>180000000</v>
      </c>
      <c r="W53" s="1443">
        <v>46</v>
      </c>
      <c r="X53" s="1444" t="s">
        <v>1224</v>
      </c>
      <c r="Y53" s="3006"/>
      <c r="Z53" s="3006"/>
      <c r="AA53" s="3006"/>
      <c r="AB53" s="3006"/>
      <c r="AC53" s="3006"/>
      <c r="AD53" s="3006"/>
      <c r="AE53" s="3006"/>
      <c r="AF53" s="3006"/>
      <c r="AG53" s="3006"/>
      <c r="AH53" s="3006"/>
      <c r="AI53" s="3006"/>
      <c r="AJ53" s="3006"/>
      <c r="AK53" s="3012"/>
      <c r="AL53" s="3012"/>
      <c r="AM53" s="3019"/>
      <c r="AN53" s="3019"/>
      <c r="AO53" s="3000"/>
      <c r="AP53" s="3000"/>
      <c r="AQ53" s="3019"/>
    </row>
    <row r="54" spans="1:47" ht="75" x14ac:dyDescent="0.2">
      <c r="A54" s="1425"/>
      <c r="B54" s="1426"/>
      <c r="C54" s="1427"/>
      <c r="D54" s="2980"/>
      <c r="E54" s="2981"/>
      <c r="F54" s="2981"/>
      <c r="G54" s="2980"/>
      <c r="H54" s="2981"/>
      <c r="I54" s="2982"/>
      <c r="J54" s="1449">
        <v>63</v>
      </c>
      <c r="K54" s="1450" t="s">
        <v>1264</v>
      </c>
      <c r="L54" s="1450" t="s">
        <v>1265</v>
      </c>
      <c r="M54" s="1408">
        <v>250</v>
      </c>
      <c r="N54" s="3012"/>
      <c r="O54" s="2998"/>
      <c r="P54" s="2911"/>
      <c r="Q54" s="1451">
        <f>SUM(V54:V54)/R37</f>
        <v>0.14295693509614968</v>
      </c>
      <c r="R54" s="3004"/>
      <c r="S54" s="2911"/>
      <c r="T54" s="2990"/>
      <c r="U54" s="1424" t="s">
        <v>1266</v>
      </c>
      <c r="V54" s="1448">
        <v>3000000000</v>
      </c>
      <c r="W54" s="1443">
        <v>46</v>
      </c>
      <c r="X54" s="1444" t="s">
        <v>1224</v>
      </c>
      <c r="Y54" s="3006"/>
      <c r="Z54" s="3006"/>
      <c r="AA54" s="3006"/>
      <c r="AB54" s="3006"/>
      <c r="AC54" s="3006"/>
      <c r="AD54" s="3006"/>
      <c r="AE54" s="3006"/>
      <c r="AF54" s="3006"/>
      <c r="AG54" s="3006"/>
      <c r="AH54" s="3006"/>
      <c r="AI54" s="3006"/>
      <c r="AJ54" s="3006"/>
      <c r="AK54" s="3012"/>
      <c r="AL54" s="3012"/>
      <c r="AM54" s="3019"/>
      <c r="AN54" s="3019"/>
      <c r="AO54" s="3000"/>
      <c r="AP54" s="3000"/>
      <c r="AQ54" s="3019"/>
    </row>
    <row r="55" spans="1:47" ht="135" x14ac:dyDescent="0.2">
      <c r="A55" s="1425"/>
      <c r="B55" s="1426"/>
      <c r="C55" s="1427"/>
      <c r="D55" s="2980"/>
      <c r="E55" s="2981"/>
      <c r="F55" s="2981"/>
      <c r="G55" s="2980"/>
      <c r="H55" s="2981"/>
      <c r="I55" s="2982"/>
      <c r="J55" s="1449">
        <v>64</v>
      </c>
      <c r="K55" s="1450" t="s">
        <v>1267</v>
      </c>
      <c r="L55" s="1452" t="s">
        <v>1268</v>
      </c>
      <c r="M55" s="1453">
        <v>1</v>
      </c>
      <c r="N55" s="3014"/>
      <c r="O55" s="2998"/>
      <c r="P55" s="2911"/>
      <c r="Q55" s="1451">
        <f>V55/R37</f>
        <v>1.4206271564096741E-3</v>
      </c>
      <c r="R55" s="3004"/>
      <c r="S55" s="2911"/>
      <c r="T55" s="2990"/>
      <c r="U55" s="1436" t="s">
        <v>1269</v>
      </c>
      <c r="V55" s="1454">
        <v>29812345</v>
      </c>
      <c r="W55" s="1455">
        <v>20</v>
      </c>
      <c r="X55" s="1438" t="s">
        <v>1270</v>
      </c>
      <c r="Y55" s="3007"/>
      <c r="Z55" s="3007"/>
      <c r="AA55" s="3007"/>
      <c r="AB55" s="3007"/>
      <c r="AC55" s="3007"/>
      <c r="AD55" s="3007"/>
      <c r="AE55" s="3007"/>
      <c r="AF55" s="3007"/>
      <c r="AG55" s="3007"/>
      <c r="AH55" s="3007"/>
      <c r="AI55" s="3007"/>
      <c r="AJ55" s="3007"/>
      <c r="AK55" s="3014"/>
      <c r="AL55" s="3014"/>
      <c r="AM55" s="3033"/>
      <c r="AN55" s="3033"/>
      <c r="AO55" s="3000"/>
      <c r="AP55" s="3000"/>
      <c r="AQ55" s="3019"/>
    </row>
    <row r="56" spans="1:47" s="1363" customFormat="1" ht="105" x14ac:dyDescent="0.2">
      <c r="A56" s="1425"/>
      <c r="B56" s="1426"/>
      <c r="C56" s="1427"/>
      <c r="D56" s="2980"/>
      <c r="E56" s="2981"/>
      <c r="F56" s="2981"/>
      <c r="G56" s="2980"/>
      <c r="H56" s="2981"/>
      <c r="I56" s="2982"/>
      <c r="J56" s="1456">
        <v>59</v>
      </c>
      <c r="K56" s="1450" t="s">
        <v>1248</v>
      </c>
      <c r="L56" s="1452" t="s">
        <v>1249</v>
      </c>
      <c r="M56" s="1457">
        <v>1</v>
      </c>
      <c r="N56" s="1408" t="s">
        <v>1271</v>
      </c>
      <c r="O56" s="1458" t="s">
        <v>1272</v>
      </c>
      <c r="P56" s="1424" t="s">
        <v>1273</v>
      </c>
      <c r="Q56" s="1459">
        <f>V56/R56</f>
        <v>1</v>
      </c>
      <c r="R56" s="1454">
        <f>SUM(V56)</f>
        <v>815853756</v>
      </c>
      <c r="S56" s="1460" t="s">
        <v>1274</v>
      </c>
      <c r="T56" s="1461" t="s">
        <v>1275</v>
      </c>
      <c r="U56" s="1460" t="s">
        <v>1276</v>
      </c>
      <c r="V56" s="1454">
        <v>815853756</v>
      </c>
      <c r="W56" s="1462">
        <v>56</v>
      </c>
      <c r="X56" s="1438" t="s">
        <v>1277</v>
      </c>
      <c r="Y56" s="1463">
        <v>12668</v>
      </c>
      <c r="Z56" s="1444">
        <v>12704</v>
      </c>
      <c r="AA56" s="1444">
        <v>7596</v>
      </c>
      <c r="AB56" s="1444">
        <v>1582</v>
      </c>
      <c r="AC56" s="1444">
        <v>13190</v>
      </c>
      <c r="AD56" s="1444">
        <v>1890</v>
      </c>
      <c r="AE56" s="1444">
        <v>142</v>
      </c>
      <c r="AF56" s="1444">
        <v>64</v>
      </c>
      <c r="AG56" s="1444"/>
      <c r="AH56" s="1444"/>
      <c r="AI56" s="1444"/>
      <c r="AJ56" s="1444"/>
      <c r="AK56" s="1443">
        <v>908</v>
      </c>
      <c r="AL56" s="1443"/>
      <c r="AM56" s="1464"/>
      <c r="AN56" s="1444">
        <f>+Y56+Z56</f>
        <v>25372</v>
      </c>
      <c r="AO56" s="1465">
        <v>43497</v>
      </c>
      <c r="AP56" s="1465">
        <v>43830</v>
      </c>
      <c r="AQ56" s="1464" t="s">
        <v>1157</v>
      </c>
    </row>
    <row r="57" spans="1:47" ht="27" customHeight="1" x14ac:dyDescent="0.2">
      <c r="A57" s="3034" t="s">
        <v>1278</v>
      </c>
      <c r="B57" s="3035"/>
      <c r="C57" s="3035"/>
      <c r="D57" s="1466"/>
      <c r="E57" s="1466"/>
      <c r="F57" s="1466"/>
      <c r="G57" s="1466"/>
      <c r="H57" s="1466"/>
      <c r="I57" s="1466"/>
      <c r="J57" s="1467"/>
      <c r="K57" s="1466"/>
      <c r="L57" s="1468"/>
      <c r="M57" s="1469"/>
      <c r="N57" s="1470"/>
      <c r="O57" s="1471"/>
      <c r="P57" s="1470"/>
      <c r="Q57" s="1472"/>
      <c r="R57" s="1473">
        <f>SUM(R12:R56)</f>
        <v>32534972632</v>
      </c>
      <c r="S57" s="1474"/>
      <c r="T57" s="1471"/>
      <c r="U57" s="1475"/>
      <c r="V57" s="1476">
        <f>SUM(V11:V56)</f>
        <v>32534972632</v>
      </c>
      <c r="W57" s="1477"/>
      <c r="X57" s="1478"/>
      <c r="Y57" s="1479"/>
      <c r="Z57" s="1480"/>
      <c r="AA57" s="1480"/>
      <c r="AB57" s="1480"/>
      <c r="AC57" s="1480"/>
      <c r="AD57" s="1480"/>
      <c r="AE57" s="1480"/>
      <c r="AF57" s="1480"/>
      <c r="AG57" s="1480"/>
      <c r="AH57" s="1480"/>
      <c r="AI57" s="1480"/>
      <c r="AJ57" s="1480"/>
      <c r="AK57" s="1480"/>
      <c r="AL57" s="1480"/>
      <c r="AM57" s="1480"/>
      <c r="AN57" s="1481"/>
      <c r="AO57" s="1481"/>
      <c r="AP57" s="1481"/>
      <c r="AQ57" s="1482"/>
    </row>
    <row r="58" spans="1:47" ht="27" customHeight="1" x14ac:dyDescent="0.2">
      <c r="O58" s="1485"/>
      <c r="S58" s="1485"/>
      <c r="T58" s="1485"/>
      <c r="U58" s="1485"/>
    </row>
    <row r="59" spans="1:47" ht="27" customHeight="1" x14ac:dyDescent="0.2">
      <c r="O59" s="1485"/>
      <c r="S59" s="1485"/>
      <c r="T59" s="1485"/>
      <c r="U59" s="1485"/>
      <c r="X59" s="1489"/>
    </row>
    <row r="60" spans="1:47" ht="27" customHeight="1" x14ac:dyDescent="0.25">
      <c r="D60" s="1494" t="s">
        <v>1279</v>
      </c>
      <c r="E60" s="1494"/>
      <c r="F60" s="1494"/>
      <c r="X60" s="1489"/>
    </row>
    <row r="61" spans="1:47" ht="21" customHeight="1" x14ac:dyDescent="0.2">
      <c r="D61" s="1306" t="s">
        <v>1280</v>
      </c>
      <c r="X61" s="1489"/>
    </row>
    <row r="62" spans="1:47" ht="21" customHeight="1" x14ac:dyDescent="0.2">
      <c r="D62" s="1306" t="s">
        <v>1281</v>
      </c>
      <c r="W62" s="1488"/>
      <c r="X62" s="1489"/>
    </row>
    <row r="65" spans="1:3" ht="27" customHeight="1" x14ac:dyDescent="0.2">
      <c r="A65" s="1483" t="s">
        <v>1282</v>
      </c>
      <c r="C65" s="1306" t="s">
        <v>1283</v>
      </c>
    </row>
    <row r="66" spans="1:3" ht="27" customHeight="1" x14ac:dyDescent="0.2">
      <c r="A66" s="1483" t="s">
        <v>1284</v>
      </c>
      <c r="C66" s="1306" t="s">
        <v>1285</v>
      </c>
    </row>
    <row r="67" spans="1:3" ht="27" customHeight="1" x14ac:dyDescent="0.2">
      <c r="C67" s="1306" t="s">
        <v>1286</v>
      </c>
    </row>
  </sheetData>
  <sheetProtection password="F3F4" sheet="1" objects="1" scenarios="1"/>
  <mergeCells count="261">
    <mergeCell ref="A57:C57"/>
    <mergeCell ref="L50:L51"/>
    <mergeCell ref="M50:M51"/>
    <mergeCell ref="Q50:Q51"/>
    <mergeCell ref="J52:J53"/>
    <mergeCell ref="K52:K53"/>
    <mergeCell ref="L52:L53"/>
    <mergeCell ref="M52:M53"/>
    <mergeCell ref="Q52:Q53"/>
    <mergeCell ref="D36:F56"/>
    <mergeCell ref="G37:I56"/>
    <mergeCell ref="J37:J41"/>
    <mergeCell ref="K37:K41"/>
    <mergeCell ref="L37:L41"/>
    <mergeCell ref="M37:M41"/>
    <mergeCell ref="L44:L49"/>
    <mergeCell ref="M44:M49"/>
    <mergeCell ref="J50:J51"/>
    <mergeCell ref="K50:K51"/>
    <mergeCell ref="AP37:AP55"/>
    <mergeCell ref="AQ37:AQ55"/>
    <mergeCell ref="U39:U40"/>
    <mergeCell ref="J42:J43"/>
    <mergeCell ref="K42:K43"/>
    <mergeCell ref="L42:L43"/>
    <mergeCell ref="M42:M43"/>
    <mergeCell ref="Q42:Q43"/>
    <mergeCell ref="J44:J49"/>
    <mergeCell ref="K44:K49"/>
    <mergeCell ref="AJ37:AJ55"/>
    <mergeCell ref="AK37:AK55"/>
    <mergeCell ref="AL37:AL55"/>
    <mergeCell ref="AM37:AM55"/>
    <mergeCell ref="AN37:AN55"/>
    <mergeCell ref="AO37:AO55"/>
    <mergeCell ref="AD37:AD55"/>
    <mergeCell ref="AE37:AE55"/>
    <mergeCell ref="AF37:AF55"/>
    <mergeCell ref="AG37:AG55"/>
    <mergeCell ref="AH37:AH55"/>
    <mergeCell ref="AI37:AI55"/>
    <mergeCell ref="T37:T55"/>
    <mergeCell ref="Y37:Y55"/>
    <mergeCell ref="Z37:Z55"/>
    <mergeCell ref="AA37:AA55"/>
    <mergeCell ref="AB37:AB55"/>
    <mergeCell ref="AC37:AC55"/>
    <mergeCell ref="U45:U46"/>
    <mergeCell ref="U47:U48"/>
    <mergeCell ref="N37:N55"/>
    <mergeCell ref="O37:O55"/>
    <mergeCell ref="P37:P55"/>
    <mergeCell ref="Q37:Q41"/>
    <mergeCell ref="R37:R55"/>
    <mergeCell ref="S37:S55"/>
    <mergeCell ref="Q44:Q49"/>
    <mergeCell ref="AN26:AN35"/>
    <mergeCell ref="AO26:AO35"/>
    <mergeCell ref="AP26:AP35"/>
    <mergeCell ref="AQ26:AQ35"/>
    <mergeCell ref="U28:U29"/>
    <mergeCell ref="J31:J35"/>
    <mergeCell ref="K31:K35"/>
    <mergeCell ref="L31:L35"/>
    <mergeCell ref="M31:M35"/>
    <mergeCell ref="Q31:Q35"/>
    <mergeCell ref="AH26:AH35"/>
    <mergeCell ref="AI26:AI35"/>
    <mergeCell ref="AJ26:AJ35"/>
    <mergeCell ref="AK26:AK35"/>
    <mergeCell ref="AL26:AL35"/>
    <mergeCell ref="AM26:AM35"/>
    <mergeCell ref="AB26:AB35"/>
    <mergeCell ref="AC26:AC35"/>
    <mergeCell ref="AD26:AD35"/>
    <mergeCell ref="AE26:AE35"/>
    <mergeCell ref="AF26:AF35"/>
    <mergeCell ref="AG26:AG35"/>
    <mergeCell ref="R26:R35"/>
    <mergeCell ref="S26:S35"/>
    <mergeCell ref="AA26:AA35"/>
    <mergeCell ref="T31:T35"/>
    <mergeCell ref="U31:U32"/>
    <mergeCell ref="U33:U34"/>
    <mergeCell ref="K26:K30"/>
    <mergeCell ref="L26:L30"/>
    <mergeCell ref="M26:M30"/>
    <mergeCell ref="O26:O35"/>
    <mergeCell ref="P26:P35"/>
    <mergeCell ref="Q26:Q30"/>
    <mergeCell ref="AO21:AO22"/>
    <mergeCell ref="AP21:AP22"/>
    <mergeCell ref="A24:C35"/>
    <mergeCell ref="E24:L24"/>
    <mergeCell ref="D25:F35"/>
    <mergeCell ref="G26:I35"/>
    <mergeCell ref="J26:J30"/>
    <mergeCell ref="AF21:AF22"/>
    <mergeCell ref="AG21:AG22"/>
    <mergeCell ref="AH21:AH22"/>
    <mergeCell ref="AI21:AI22"/>
    <mergeCell ref="AJ21:AJ22"/>
    <mergeCell ref="AK21:AK22"/>
    <mergeCell ref="Z21:Z22"/>
    <mergeCell ref="AA21:AA22"/>
    <mergeCell ref="AB21:AB22"/>
    <mergeCell ref="AC21:AC22"/>
    <mergeCell ref="AD21:AD22"/>
    <mergeCell ref="AE21:AE22"/>
    <mergeCell ref="O21:O22"/>
    <mergeCell ref="P21:P22"/>
    <mergeCell ref="T26:T30"/>
    <mergeCell ref="Y26:Y35"/>
    <mergeCell ref="Z26:Z35"/>
    <mergeCell ref="Y21:Y22"/>
    <mergeCell ref="AN18:AN19"/>
    <mergeCell ref="AO18:AO19"/>
    <mergeCell ref="AP18:AP19"/>
    <mergeCell ref="G20:I20"/>
    <mergeCell ref="G21:I22"/>
    <mergeCell ref="J21:J22"/>
    <mergeCell ref="K21:K22"/>
    <mergeCell ref="L21:L22"/>
    <mergeCell ref="M21:M22"/>
    <mergeCell ref="N21:N22"/>
    <mergeCell ref="AH18:AH19"/>
    <mergeCell ref="AI18:AI19"/>
    <mergeCell ref="AJ18:AJ19"/>
    <mergeCell ref="AK18:AK19"/>
    <mergeCell ref="AL18:AL19"/>
    <mergeCell ref="AM18:AM19"/>
    <mergeCell ref="AB18:AB19"/>
    <mergeCell ref="AC18:AC19"/>
    <mergeCell ref="AD18:AD19"/>
    <mergeCell ref="AE18:AE19"/>
    <mergeCell ref="AL21:AL22"/>
    <mergeCell ref="AM21:AM22"/>
    <mergeCell ref="AN21:AN22"/>
    <mergeCell ref="O18:O19"/>
    <mergeCell ref="P18:P19"/>
    <mergeCell ref="Q18:Q19"/>
    <mergeCell ref="R18:R19"/>
    <mergeCell ref="S18:S19"/>
    <mergeCell ref="U18:U19"/>
    <mergeCell ref="Q21:Q22"/>
    <mergeCell ref="R21:R22"/>
    <mergeCell ref="S21:S22"/>
    <mergeCell ref="AE16:AE17"/>
    <mergeCell ref="AF16:AF17"/>
    <mergeCell ref="U16:U17"/>
    <mergeCell ref="V16:V17"/>
    <mergeCell ref="AF18:AF19"/>
    <mergeCell ref="AG18:AG19"/>
    <mergeCell ref="V18:V19"/>
    <mergeCell ref="W18:W19"/>
    <mergeCell ref="X18:X19"/>
    <mergeCell ref="Y18:Y19"/>
    <mergeCell ref="Z18:Z19"/>
    <mergeCell ref="AA18:AA19"/>
    <mergeCell ref="P16:P17"/>
    <mergeCell ref="Q16:Q17"/>
    <mergeCell ref="R16:R17"/>
    <mergeCell ref="S16:S17"/>
    <mergeCell ref="AM16:AM17"/>
    <mergeCell ref="AN16:AN17"/>
    <mergeCell ref="AO16:AO17"/>
    <mergeCell ref="AP16:AP17"/>
    <mergeCell ref="G18:I19"/>
    <mergeCell ref="J18:J19"/>
    <mergeCell ref="K18:K19"/>
    <mergeCell ref="L18:L19"/>
    <mergeCell ref="M18:M19"/>
    <mergeCell ref="N18:N19"/>
    <mergeCell ref="AG16:AG17"/>
    <mergeCell ref="AH16:AH17"/>
    <mergeCell ref="AI16:AI17"/>
    <mergeCell ref="AJ16:AJ17"/>
    <mergeCell ref="AK16:AK17"/>
    <mergeCell ref="AL16:AL17"/>
    <mergeCell ref="AA16:AA17"/>
    <mergeCell ref="AB16:AB17"/>
    <mergeCell ref="AC16:AC17"/>
    <mergeCell ref="AD16:AD17"/>
    <mergeCell ref="AP12:AP15"/>
    <mergeCell ref="AQ12:AQ22"/>
    <mergeCell ref="T14:T15"/>
    <mergeCell ref="G16:I17"/>
    <mergeCell ref="J16:J17"/>
    <mergeCell ref="K16:K17"/>
    <mergeCell ref="L16:L17"/>
    <mergeCell ref="M16:M17"/>
    <mergeCell ref="AH12:AH15"/>
    <mergeCell ref="AI12:AI15"/>
    <mergeCell ref="AJ12:AJ15"/>
    <mergeCell ref="AK12:AK15"/>
    <mergeCell ref="AL12:AL15"/>
    <mergeCell ref="AM12:AM15"/>
    <mergeCell ref="AB12:AB15"/>
    <mergeCell ref="AC12:AC15"/>
    <mergeCell ref="AD12:AD15"/>
    <mergeCell ref="AE12:AE15"/>
    <mergeCell ref="AF12:AF15"/>
    <mergeCell ref="AG12:AG15"/>
    <mergeCell ref="S12:S15"/>
    <mergeCell ref="T12:T13"/>
    <mergeCell ref="W16:W17"/>
    <mergeCell ref="X16:X17"/>
    <mergeCell ref="AA12:AA15"/>
    <mergeCell ref="M12:M15"/>
    <mergeCell ref="N12:N15"/>
    <mergeCell ref="O12:O15"/>
    <mergeCell ref="P12:P15"/>
    <mergeCell ref="Q12:Q15"/>
    <mergeCell ref="R12:R15"/>
    <mergeCell ref="AN12:AN15"/>
    <mergeCell ref="AO12:AO15"/>
    <mergeCell ref="A10:C22"/>
    <mergeCell ref="D11:F22"/>
    <mergeCell ref="G12:I15"/>
    <mergeCell ref="J12:J15"/>
    <mergeCell ref="K12:K15"/>
    <mergeCell ref="L12:L15"/>
    <mergeCell ref="V7:V8"/>
    <mergeCell ref="X7:X8"/>
    <mergeCell ref="Y7:Z7"/>
    <mergeCell ref="P7:P8"/>
    <mergeCell ref="Q7:Q8"/>
    <mergeCell ref="R7:R8"/>
    <mergeCell ref="S7:S8"/>
    <mergeCell ref="T7:T8"/>
    <mergeCell ref="U7:U8"/>
    <mergeCell ref="J7:J8"/>
    <mergeCell ref="K7:K8"/>
    <mergeCell ref="U12:U15"/>
    <mergeCell ref="Y12:Y15"/>
    <mergeCell ref="Z12:Z15"/>
    <mergeCell ref="Y16:Y17"/>
    <mergeCell ref="Z16:Z17"/>
    <mergeCell ref="N16:N17"/>
    <mergeCell ref="O16:O17"/>
    <mergeCell ref="L7:L8"/>
    <mergeCell ref="M7:M8"/>
    <mergeCell ref="N7:N8"/>
    <mergeCell ref="O7:O8"/>
    <mergeCell ref="A1:AO4"/>
    <mergeCell ref="A5:M6"/>
    <mergeCell ref="N5:AQ5"/>
    <mergeCell ref="Y6:AM6"/>
    <mergeCell ref="A7:A8"/>
    <mergeCell ref="B7:C8"/>
    <mergeCell ref="D7:D8"/>
    <mergeCell ref="E7:F8"/>
    <mergeCell ref="G7:G8"/>
    <mergeCell ref="H7:I8"/>
    <mergeCell ref="AN7:AN8"/>
    <mergeCell ref="AO7:AO8"/>
    <mergeCell ref="AP7:AP8"/>
    <mergeCell ref="AQ7:AQ8"/>
    <mergeCell ref="AA7:AD7"/>
    <mergeCell ref="AE7:AJ7"/>
    <mergeCell ref="AK7:AM7"/>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82"/>
  <sheetViews>
    <sheetView showGridLines="0" zoomScale="60" zoomScaleNormal="60" workbookViewId="0">
      <selection activeCell="K16" sqref="K16:K19"/>
    </sheetView>
  </sheetViews>
  <sheetFormatPr baseColWidth="10" defaultColWidth="11.42578125" defaultRowHeight="27" customHeight="1" x14ac:dyDescent="0.2"/>
  <cols>
    <col min="1" max="1" width="13.140625" style="1717" customWidth="1"/>
    <col min="2" max="2" width="4" style="1498" customWidth="1"/>
    <col min="3" max="3" width="15.85546875" style="1498" customWidth="1"/>
    <col min="4" max="4" width="14.7109375" style="1498" customWidth="1"/>
    <col min="5" max="5" width="10" style="1498" customWidth="1"/>
    <col min="6" max="6" width="8.85546875" style="1498" customWidth="1"/>
    <col min="7" max="7" width="14.28515625" style="1498" customWidth="1"/>
    <col min="8" max="8" width="8.5703125" style="1498" customWidth="1"/>
    <col min="9" max="9" width="16.85546875" style="1498" customWidth="1"/>
    <col min="10" max="10" width="18.140625" style="1498" customWidth="1"/>
    <col min="11" max="11" width="40.140625" style="1718" customWidth="1"/>
    <col min="12" max="12" width="27.7109375" style="1719" customWidth="1"/>
    <col min="13" max="13" width="17.28515625" style="1497" customWidth="1"/>
    <col min="14" max="14" width="37.28515625" style="1720" customWidth="1"/>
    <col min="15" max="15" width="19.42578125" style="1720" customWidth="1"/>
    <col min="16" max="16" width="30.5703125" style="1721" customWidth="1"/>
    <col min="17" max="17" width="15" style="1731" customWidth="1"/>
    <col min="18" max="18" width="29.85546875" style="1734" customWidth="1"/>
    <col min="19" max="19" width="29.85546875" style="1721" customWidth="1"/>
    <col min="20" max="20" width="31" style="1721" customWidth="1"/>
    <col min="21" max="21" width="51.7109375" style="1718" customWidth="1"/>
    <col min="22" max="22" width="27.140625" style="1725" customWidth="1"/>
    <col min="23" max="23" width="19.28515625" style="1726" customWidth="1"/>
    <col min="24" max="24" width="21.85546875" style="1727" customWidth="1"/>
    <col min="25" max="25" width="13.42578125" style="1498" customWidth="1"/>
    <col min="26" max="26" width="11.42578125" style="1498" customWidth="1"/>
    <col min="27" max="27" width="9.28515625" style="1498" bestFit="1" customWidth="1"/>
    <col min="28" max="28" width="11.140625" style="1498" customWidth="1"/>
    <col min="29" max="29" width="9.7109375" style="1498" customWidth="1"/>
    <col min="30" max="30" width="10.140625" style="1498" customWidth="1"/>
    <col min="31" max="31" width="6.85546875" style="1498" bestFit="1" customWidth="1"/>
    <col min="32" max="32" width="8.140625" style="1498" bestFit="1" customWidth="1"/>
    <col min="33" max="35" width="7.140625" style="1498" customWidth="1"/>
    <col min="36" max="36" width="8.140625" style="1498" customWidth="1"/>
    <col min="37" max="37" width="8.7109375" style="1498" customWidth="1"/>
    <col min="38" max="38" width="9.5703125" style="1498" customWidth="1"/>
    <col min="39" max="39" width="9" style="1498" customWidth="1"/>
    <col min="40" max="40" width="13.85546875" style="1498" customWidth="1"/>
    <col min="41" max="41" width="25" style="1728" customWidth="1"/>
    <col min="42" max="42" width="24.5703125" style="1729" customWidth="1"/>
    <col min="43" max="43" width="25.5703125" style="1730" customWidth="1"/>
    <col min="44" max="16384" width="11.42578125" style="1498"/>
  </cols>
  <sheetData>
    <row r="1" spans="1:63" ht="16.5" customHeight="1" x14ac:dyDescent="0.2">
      <c r="A1" s="3043" t="s">
        <v>1287</v>
      </c>
      <c r="B1" s="3044"/>
      <c r="C1" s="3044"/>
      <c r="D1" s="3044"/>
      <c r="E1" s="3044"/>
      <c r="F1" s="3044"/>
      <c r="G1" s="3044"/>
      <c r="H1" s="3044"/>
      <c r="I1" s="3044"/>
      <c r="J1" s="3044"/>
      <c r="K1" s="3044"/>
      <c r="L1" s="3044"/>
      <c r="M1" s="3044"/>
      <c r="N1" s="3044"/>
      <c r="O1" s="3044"/>
      <c r="P1" s="3044"/>
      <c r="Q1" s="3044"/>
      <c r="R1" s="3044"/>
      <c r="S1" s="3044"/>
      <c r="T1" s="3044"/>
      <c r="U1" s="3044"/>
      <c r="V1" s="3044"/>
      <c r="W1" s="3044"/>
      <c r="X1" s="3044"/>
      <c r="Y1" s="3044"/>
      <c r="Z1" s="3044"/>
      <c r="AA1" s="3044"/>
      <c r="AB1" s="3044"/>
      <c r="AC1" s="3044"/>
      <c r="AD1" s="3044"/>
      <c r="AE1" s="3044"/>
      <c r="AF1" s="3044"/>
      <c r="AG1" s="3044"/>
      <c r="AH1" s="3044"/>
      <c r="AI1" s="3044"/>
      <c r="AJ1" s="3044"/>
      <c r="AK1" s="3044"/>
      <c r="AL1" s="3044"/>
      <c r="AM1" s="3044"/>
      <c r="AN1" s="3044"/>
      <c r="AO1" s="3044"/>
      <c r="AP1" s="1495" t="s">
        <v>1</v>
      </c>
      <c r="AQ1" s="1496" t="s">
        <v>2</v>
      </c>
      <c r="AR1" s="1497"/>
      <c r="AS1" s="1497"/>
      <c r="AT1" s="1497"/>
      <c r="AU1" s="1497"/>
      <c r="AV1" s="1497"/>
      <c r="AW1" s="1497"/>
      <c r="AX1" s="1497"/>
      <c r="AY1" s="1497"/>
      <c r="AZ1" s="1497"/>
      <c r="BA1" s="1497"/>
      <c r="BB1" s="1497"/>
      <c r="BC1" s="1497"/>
      <c r="BD1" s="1497"/>
      <c r="BE1" s="1497"/>
      <c r="BF1" s="1497"/>
      <c r="BG1" s="1497"/>
      <c r="BH1" s="1497"/>
      <c r="BI1" s="1497"/>
      <c r="BJ1" s="1497"/>
      <c r="BK1" s="1497"/>
    </row>
    <row r="2" spans="1:63" ht="16.5" customHeight="1" x14ac:dyDescent="0.2">
      <c r="A2" s="3045"/>
      <c r="B2" s="3046"/>
      <c r="C2" s="3046"/>
      <c r="D2" s="3046"/>
      <c r="E2" s="3046"/>
      <c r="F2" s="3046"/>
      <c r="G2" s="3046"/>
      <c r="H2" s="3046"/>
      <c r="I2" s="3046"/>
      <c r="J2" s="3046"/>
      <c r="K2" s="3046"/>
      <c r="L2" s="3046"/>
      <c r="M2" s="3046"/>
      <c r="N2" s="3046"/>
      <c r="O2" s="3046"/>
      <c r="P2" s="3046"/>
      <c r="Q2" s="3046"/>
      <c r="R2" s="3046"/>
      <c r="S2" s="3046"/>
      <c r="T2" s="3046"/>
      <c r="U2" s="3046"/>
      <c r="V2" s="3046"/>
      <c r="W2" s="3046"/>
      <c r="X2" s="3046"/>
      <c r="Y2" s="3046"/>
      <c r="Z2" s="3046"/>
      <c r="AA2" s="3046"/>
      <c r="AB2" s="3046"/>
      <c r="AC2" s="3046"/>
      <c r="AD2" s="3046"/>
      <c r="AE2" s="3046"/>
      <c r="AF2" s="3046"/>
      <c r="AG2" s="3046"/>
      <c r="AH2" s="3046"/>
      <c r="AI2" s="3046"/>
      <c r="AJ2" s="3046"/>
      <c r="AK2" s="3046"/>
      <c r="AL2" s="3046"/>
      <c r="AM2" s="3046"/>
      <c r="AN2" s="3046"/>
      <c r="AO2" s="3046"/>
      <c r="AP2" s="1499" t="s">
        <v>3</v>
      </c>
      <c r="AQ2" s="1500" t="s">
        <v>123</v>
      </c>
      <c r="AR2" s="1497"/>
      <c r="AS2" s="1497"/>
      <c r="AT2" s="1497"/>
      <c r="AU2" s="1497"/>
      <c r="AV2" s="1497"/>
      <c r="AW2" s="1497"/>
      <c r="AX2" s="1497"/>
      <c r="AY2" s="1497"/>
      <c r="AZ2" s="1497"/>
      <c r="BA2" s="1497"/>
      <c r="BB2" s="1497"/>
      <c r="BC2" s="1497"/>
      <c r="BD2" s="1497"/>
      <c r="BE2" s="1497"/>
      <c r="BF2" s="1497"/>
      <c r="BG2" s="1497"/>
      <c r="BH2" s="1497"/>
      <c r="BI2" s="1497"/>
      <c r="BJ2" s="1497"/>
      <c r="BK2" s="1497"/>
    </row>
    <row r="3" spans="1:63" ht="16.5" customHeight="1" x14ac:dyDescent="0.2">
      <c r="A3" s="3045"/>
      <c r="B3" s="3046"/>
      <c r="C3" s="3046"/>
      <c r="D3" s="3046"/>
      <c r="E3" s="3046"/>
      <c r="F3" s="3046"/>
      <c r="G3" s="3046"/>
      <c r="H3" s="3046"/>
      <c r="I3" s="3046"/>
      <c r="J3" s="3046"/>
      <c r="K3" s="3046"/>
      <c r="L3" s="3046"/>
      <c r="M3" s="3046"/>
      <c r="N3" s="3046"/>
      <c r="O3" s="3046"/>
      <c r="P3" s="3046"/>
      <c r="Q3" s="3046"/>
      <c r="R3" s="3046"/>
      <c r="S3" s="3046"/>
      <c r="T3" s="3046"/>
      <c r="U3" s="3046"/>
      <c r="V3" s="3046"/>
      <c r="W3" s="3046"/>
      <c r="X3" s="3046"/>
      <c r="Y3" s="3046"/>
      <c r="Z3" s="3046"/>
      <c r="AA3" s="3046"/>
      <c r="AB3" s="3046"/>
      <c r="AC3" s="3046"/>
      <c r="AD3" s="3046"/>
      <c r="AE3" s="3046"/>
      <c r="AF3" s="3046"/>
      <c r="AG3" s="3046"/>
      <c r="AH3" s="3046"/>
      <c r="AI3" s="3046"/>
      <c r="AJ3" s="3046"/>
      <c r="AK3" s="3046"/>
      <c r="AL3" s="3046"/>
      <c r="AM3" s="3046"/>
      <c r="AN3" s="3046"/>
      <c r="AO3" s="3046"/>
      <c r="AP3" s="393" t="s">
        <v>5</v>
      </c>
      <c r="AQ3" s="1500" t="s">
        <v>6</v>
      </c>
      <c r="AR3" s="1497"/>
      <c r="AS3" s="1497"/>
      <c r="AT3" s="1497"/>
      <c r="AU3" s="1497"/>
      <c r="AV3" s="1497"/>
      <c r="AW3" s="1497"/>
      <c r="AX3" s="1497"/>
      <c r="AY3" s="1497"/>
      <c r="AZ3" s="1497"/>
      <c r="BA3" s="1497"/>
      <c r="BB3" s="1497"/>
      <c r="BC3" s="1497"/>
      <c r="BD3" s="1497"/>
      <c r="BE3" s="1497"/>
      <c r="BF3" s="1497"/>
      <c r="BG3" s="1497"/>
      <c r="BH3" s="1497"/>
      <c r="BI3" s="1497"/>
      <c r="BJ3" s="1497"/>
      <c r="BK3" s="1497"/>
    </row>
    <row r="4" spans="1:63" ht="16.5" customHeight="1" x14ac:dyDescent="0.2">
      <c r="A4" s="3047"/>
      <c r="B4" s="3048"/>
      <c r="C4" s="3048"/>
      <c r="D4" s="3048"/>
      <c r="E4" s="3048"/>
      <c r="F4" s="3048"/>
      <c r="G4" s="3048"/>
      <c r="H4" s="3048"/>
      <c r="I4" s="3048"/>
      <c r="J4" s="3048"/>
      <c r="K4" s="3048"/>
      <c r="L4" s="3048"/>
      <c r="M4" s="3048"/>
      <c r="N4" s="3048"/>
      <c r="O4" s="3048"/>
      <c r="P4" s="3048"/>
      <c r="Q4" s="3048"/>
      <c r="R4" s="3048"/>
      <c r="S4" s="3048"/>
      <c r="T4" s="3048"/>
      <c r="U4" s="3048"/>
      <c r="V4" s="3048"/>
      <c r="W4" s="3048"/>
      <c r="X4" s="3048"/>
      <c r="Y4" s="3048"/>
      <c r="Z4" s="3048"/>
      <c r="AA4" s="3048"/>
      <c r="AB4" s="3048"/>
      <c r="AC4" s="3048"/>
      <c r="AD4" s="3048"/>
      <c r="AE4" s="3048"/>
      <c r="AF4" s="3048"/>
      <c r="AG4" s="3048"/>
      <c r="AH4" s="3048"/>
      <c r="AI4" s="3048"/>
      <c r="AJ4" s="3048"/>
      <c r="AK4" s="3048"/>
      <c r="AL4" s="3048"/>
      <c r="AM4" s="3048"/>
      <c r="AN4" s="3048"/>
      <c r="AO4" s="3048"/>
      <c r="AP4" s="393" t="s">
        <v>7</v>
      </c>
      <c r="AQ4" s="1501" t="s">
        <v>8</v>
      </c>
      <c r="AR4" s="1497"/>
      <c r="AS4" s="1497"/>
      <c r="AT4" s="1497"/>
      <c r="AU4" s="1497"/>
      <c r="AV4" s="1497"/>
      <c r="AW4" s="1497"/>
      <c r="AX4" s="1497"/>
      <c r="AY4" s="1497"/>
      <c r="AZ4" s="1497"/>
      <c r="BA4" s="1497"/>
      <c r="BB4" s="1497"/>
      <c r="BC4" s="1497"/>
      <c r="BD4" s="1497"/>
      <c r="BE4" s="1497"/>
      <c r="BF4" s="1497"/>
      <c r="BG4" s="1497"/>
      <c r="BH4" s="1497"/>
      <c r="BI4" s="1497"/>
      <c r="BJ4" s="1497"/>
      <c r="BK4" s="1497"/>
    </row>
    <row r="5" spans="1:63" ht="18" customHeight="1" x14ac:dyDescent="0.2">
      <c r="A5" s="3049" t="s">
        <v>9</v>
      </c>
      <c r="B5" s="3050"/>
      <c r="C5" s="3050"/>
      <c r="D5" s="3050"/>
      <c r="E5" s="3050"/>
      <c r="F5" s="3050"/>
      <c r="G5" s="3050"/>
      <c r="H5" s="3050"/>
      <c r="I5" s="3050"/>
      <c r="J5" s="3050"/>
      <c r="K5" s="3050"/>
      <c r="L5" s="3050"/>
      <c r="M5" s="3050"/>
      <c r="N5" s="3053" t="s">
        <v>10</v>
      </c>
      <c r="O5" s="3053"/>
      <c r="P5" s="3053"/>
      <c r="Q5" s="3053"/>
      <c r="R5" s="3053"/>
      <c r="S5" s="3053"/>
      <c r="T5" s="3053"/>
      <c r="U5" s="3053"/>
      <c r="V5" s="3053"/>
      <c r="W5" s="3053"/>
      <c r="X5" s="3053"/>
      <c r="Y5" s="3053"/>
      <c r="Z5" s="3053"/>
      <c r="AA5" s="3053"/>
      <c r="AB5" s="3053"/>
      <c r="AC5" s="3053"/>
      <c r="AD5" s="3053"/>
      <c r="AE5" s="3053"/>
      <c r="AF5" s="3053"/>
      <c r="AG5" s="3053"/>
      <c r="AH5" s="3053"/>
      <c r="AI5" s="3053"/>
      <c r="AJ5" s="3053"/>
      <c r="AK5" s="3053"/>
      <c r="AL5" s="3053"/>
      <c r="AM5" s="3053"/>
      <c r="AN5" s="3053"/>
      <c r="AO5" s="3053"/>
      <c r="AP5" s="3053"/>
      <c r="AQ5" s="3054"/>
      <c r="AR5" s="1497"/>
      <c r="AS5" s="1497"/>
      <c r="AT5" s="1497"/>
      <c r="AU5" s="1497"/>
      <c r="AV5" s="1497"/>
      <c r="AW5" s="1497"/>
      <c r="AX5" s="1497"/>
      <c r="AY5" s="1497"/>
      <c r="AZ5" s="1497"/>
      <c r="BA5" s="1497"/>
      <c r="BB5" s="1497"/>
      <c r="BC5" s="1497"/>
      <c r="BD5" s="1497"/>
      <c r="BE5" s="1497"/>
      <c r="BF5" s="1497"/>
      <c r="BG5" s="1497"/>
      <c r="BH5" s="1497"/>
      <c r="BI5" s="1497"/>
      <c r="BJ5" s="1497"/>
      <c r="BK5" s="1497"/>
    </row>
    <row r="6" spans="1:63" ht="18.75" customHeight="1" x14ac:dyDescent="0.2">
      <c r="A6" s="3051"/>
      <c r="B6" s="3052"/>
      <c r="C6" s="3052"/>
      <c r="D6" s="3052"/>
      <c r="E6" s="3052"/>
      <c r="F6" s="3052"/>
      <c r="G6" s="3052"/>
      <c r="H6" s="3052"/>
      <c r="I6" s="3052"/>
      <c r="J6" s="3052"/>
      <c r="K6" s="3052"/>
      <c r="L6" s="3052"/>
      <c r="M6" s="3052"/>
      <c r="N6" s="1502"/>
      <c r="O6" s="1503"/>
      <c r="P6" s="1504"/>
      <c r="Q6" s="1505"/>
      <c r="R6" s="1506"/>
      <c r="S6" s="1504"/>
      <c r="T6" s="1504"/>
      <c r="U6" s="1507"/>
      <c r="V6" s="1508"/>
      <c r="W6" s="1509"/>
      <c r="X6" s="1506"/>
      <c r="Y6" s="3055" t="s">
        <v>11</v>
      </c>
      <c r="Z6" s="3052"/>
      <c r="AA6" s="3052"/>
      <c r="AB6" s="3052"/>
      <c r="AC6" s="3052"/>
      <c r="AD6" s="3052"/>
      <c r="AE6" s="3052"/>
      <c r="AF6" s="3052"/>
      <c r="AG6" s="3052"/>
      <c r="AH6" s="3052"/>
      <c r="AI6" s="3052"/>
      <c r="AJ6" s="3052"/>
      <c r="AK6" s="3052"/>
      <c r="AL6" s="3052"/>
      <c r="AM6" s="3056"/>
      <c r="AN6" s="1506"/>
      <c r="AO6" s="1509"/>
      <c r="AP6" s="1509"/>
      <c r="AQ6" s="1510"/>
      <c r="AR6" s="1497"/>
      <c r="AS6" s="1497"/>
      <c r="AT6" s="1497"/>
      <c r="AU6" s="1497"/>
      <c r="AV6" s="1497"/>
      <c r="AW6" s="1497"/>
      <c r="AX6" s="1497"/>
      <c r="AY6" s="1497"/>
      <c r="AZ6" s="1497"/>
      <c r="BA6" s="1497"/>
      <c r="BB6" s="1497"/>
      <c r="BC6" s="1497"/>
      <c r="BD6" s="1497"/>
      <c r="BE6" s="1497"/>
      <c r="BF6" s="1497"/>
      <c r="BG6" s="1497"/>
      <c r="BH6" s="1497"/>
      <c r="BI6" s="1497"/>
      <c r="BJ6" s="1497"/>
      <c r="BK6" s="1497"/>
    </row>
    <row r="7" spans="1:63" ht="18.75" customHeight="1" x14ac:dyDescent="0.2">
      <c r="A7" s="1511"/>
      <c r="B7" s="1506"/>
      <c r="C7" s="1506"/>
      <c r="D7" s="1506"/>
      <c r="E7" s="1506"/>
      <c r="F7" s="1506"/>
      <c r="G7" s="1506"/>
      <c r="H7" s="1506"/>
      <c r="I7" s="1506"/>
      <c r="J7" s="1506"/>
      <c r="K7" s="1507"/>
      <c r="L7" s="1506"/>
      <c r="M7" s="1506"/>
      <c r="N7" s="1502"/>
      <c r="O7" s="1503"/>
      <c r="P7" s="1504"/>
      <c r="Q7" s="1505"/>
      <c r="R7" s="1506"/>
      <c r="S7" s="1504"/>
      <c r="T7" s="1504"/>
      <c r="U7" s="1507"/>
      <c r="V7" s="1508"/>
      <c r="W7" s="1509"/>
      <c r="X7" s="1506"/>
      <c r="Y7" s="1512"/>
      <c r="Z7" s="1506"/>
      <c r="AA7" s="1506"/>
      <c r="AB7" s="1506"/>
      <c r="AC7" s="1506"/>
      <c r="AD7" s="1506"/>
      <c r="AE7" s="1506"/>
      <c r="AF7" s="1506"/>
      <c r="AG7" s="1506"/>
      <c r="AH7" s="1506"/>
      <c r="AI7" s="1506"/>
      <c r="AJ7" s="1506"/>
      <c r="AK7" s="1506"/>
      <c r="AL7" s="1506"/>
      <c r="AM7" s="1513"/>
      <c r="AN7" s="1506"/>
      <c r="AO7" s="1514"/>
      <c r="AP7" s="1514"/>
      <c r="AQ7" s="1510"/>
      <c r="AR7" s="1497"/>
      <c r="AS7" s="1497"/>
      <c r="AT7" s="1497"/>
      <c r="AU7" s="1497"/>
      <c r="AV7" s="1497"/>
      <c r="AW7" s="1497"/>
      <c r="AX7" s="1497"/>
      <c r="AY7" s="1497"/>
      <c r="AZ7" s="1497"/>
      <c r="BA7" s="1497"/>
      <c r="BB7" s="1497"/>
      <c r="BC7" s="1497"/>
      <c r="BD7" s="1497"/>
      <c r="BE7" s="1497"/>
      <c r="BF7" s="1497"/>
      <c r="BG7" s="1497"/>
      <c r="BH7" s="1497"/>
      <c r="BI7" s="1497"/>
      <c r="BJ7" s="1497"/>
      <c r="BK7" s="1497"/>
    </row>
    <row r="8" spans="1:63" s="1516" customFormat="1" ht="16.5" customHeight="1" x14ac:dyDescent="0.25">
      <c r="A8" s="3057" t="s">
        <v>12</v>
      </c>
      <c r="B8" s="3040" t="s">
        <v>13</v>
      </c>
      <c r="C8" s="3040"/>
      <c r="D8" s="3040" t="s">
        <v>12</v>
      </c>
      <c r="E8" s="3040" t="s">
        <v>14</v>
      </c>
      <c r="F8" s="3040"/>
      <c r="G8" s="3040" t="s">
        <v>12</v>
      </c>
      <c r="H8" s="3040" t="s">
        <v>15</v>
      </c>
      <c r="I8" s="3040"/>
      <c r="J8" s="3040" t="s">
        <v>12</v>
      </c>
      <c r="K8" s="3040" t="s">
        <v>16</v>
      </c>
      <c r="L8" s="3040" t="s">
        <v>17</v>
      </c>
      <c r="M8" s="3041" t="s">
        <v>18</v>
      </c>
      <c r="N8" s="3040" t="s">
        <v>19</v>
      </c>
      <c r="O8" s="3040" t="s">
        <v>20</v>
      </c>
      <c r="P8" s="3040" t="s">
        <v>10</v>
      </c>
      <c r="Q8" s="3087" t="s">
        <v>21</v>
      </c>
      <c r="R8" s="3088" t="s">
        <v>22</v>
      </c>
      <c r="S8" s="3040" t="s">
        <v>23</v>
      </c>
      <c r="T8" s="3040" t="s">
        <v>24</v>
      </c>
      <c r="U8" s="3040" t="s">
        <v>25</v>
      </c>
      <c r="V8" s="3082" t="s">
        <v>22</v>
      </c>
      <c r="W8" s="3084" t="s">
        <v>12</v>
      </c>
      <c r="X8" s="3040" t="s">
        <v>26</v>
      </c>
      <c r="Y8" s="3085" t="s">
        <v>27</v>
      </c>
      <c r="Z8" s="3085"/>
      <c r="AA8" s="3058" t="s">
        <v>28</v>
      </c>
      <c r="AB8" s="3058"/>
      <c r="AC8" s="3058"/>
      <c r="AD8" s="3058"/>
      <c r="AE8" s="3086" t="s">
        <v>29</v>
      </c>
      <c r="AF8" s="3086"/>
      <c r="AG8" s="3086"/>
      <c r="AH8" s="3086"/>
      <c r="AI8" s="3086"/>
      <c r="AJ8" s="3086"/>
      <c r="AK8" s="3058" t="s">
        <v>30</v>
      </c>
      <c r="AL8" s="3058"/>
      <c r="AM8" s="3058"/>
      <c r="AN8" s="3059" t="s">
        <v>31</v>
      </c>
      <c r="AO8" s="3061" t="s">
        <v>32</v>
      </c>
      <c r="AP8" s="3061" t="s">
        <v>33</v>
      </c>
      <c r="AQ8" s="3063" t="s">
        <v>34</v>
      </c>
      <c r="AR8" s="1515"/>
      <c r="AS8" s="1515"/>
      <c r="AT8" s="1515"/>
      <c r="AU8" s="1515"/>
      <c r="AV8" s="1515"/>
      <c r="AW8" s="1515"/>
      <c r="AX8" s="1515"/>
      <c r="AY8" s="1515"/>
      <c r="AZ8" s="1515"/>
      <c r="BA8" s="1515"/>
      <c r="BB8" s="1515"/>
      <c r="BC8" s="1515"/>
      <c r="BD8" s="1515"/>
      <c r="BE8" s="1515"/>
      <c r="BF8" s="1515"/>
      <c r="BG8" s="1515"/>
      <c r="BH8" s="1515"/>
      <c r="BI8" s="1515"/>
      <c r="BJ8" s="1515"/>
      <c r="BK8" s="1515"/>
    </row>
    <row r="9" spans="1:63" s="1516" customFormat="1" ht="141" customHeight="1" x14ac:dyDescent="0.25">
      <c r="A9" s="3057"/>
      <c r="B9" s="3040"/>
      <c r="C9" s="3040"/>
      <c r="D9" s="3040"/>
      <c r="E9" s="3040"/>
      <c r="F9" s="3040"/>
      <c r="G9" s="3040"/>
      <c r="H9" s="3040"/>
      <c r="I9" s="3040"/>
      <c r="J9" s="3040"/>
      <c r="K9" s="3040"/>
      <c r="L9" s="3040"/>
      <c r="M9" s="3042"/>
      <c r="N9" s="3040"/>
      <c r="O9" s="3040"/>
      <c r="P9" s="3040"/>
      <c r="Q9" s="3087"/>
      <c r="R9" s="3088"/>
      <c r="S9" s="3040"/>
      <c r="T9" s="3040"/>
      <c r="U9" s="3040"/>
      <c r="V9" s="3083"/>
      <c r="W9" s="3084"/>
      <c r="X9" s="3040"/>
      <c r="Y9" s="1216" t="s">
        <v>35</v>
      </c>
      <c r="Z9" s="1216" t="s">
        <v>36</v>
      </c>
      <c r="AA9" s="1216" t="s">
        <v>37</v>
      </c>
      <c r="AB9" s="1216" t="s">
        <v>125</v>
      </c>
      <c r="AC9" s="1216" t="s">
        <v>1288</v>
      </c>
      <c r="AD9" s="1216" t="s">
        <v>127</v>
      </c>
      <c r="AE9" s="1216" t="s">
        <v>41</v>
      </c>
      <c r="AF9" s="1216" t="s">
        <v>42</v>
      </c>
      <c r="AG9" s="1216" t="s">
        <v>43</v>
      </c>
      <c r="AH9" s="1216" t="s">
        <v>44</v>
      </c>
      <c r="AI9" s="1216" t="s">
        <v>45</v>
      </c>
      <c r="AJ9" s="1216" t="s">
        <v>46</v>
      </c>
      <c r="AK9" s="1216" t="s">
        <v>47</v>
      </c>
      <c r="AL9" s="1216" t="s">
        <v>48</v>
      </c>
      <c r="AM9" s="1216" t="s">
        <v>49</v>
      </c>
      <c r="AN9" s="3060"/>
      <c r="AO9" s="3062"/>
      <c r="AP9" s="3062"/>
      <c r="AQ9" s="3063"/>
      <c r="AR9" s="1515"/>
      <c r="AS9" s="1515"/>
      <c r="AT9" s="1515"/>
      <c r="AU9" s="1515"/>
      <c r="AV9" s="1515"/>
      <c r="AW9" s="1515"/>
      <c r="AX9" s="1515"/>
      <c r="AY9" s="1515"/>
      <c r="AZ9" s="1515"/>
      <c r="BA9" s="1515"/>
      <c r="BB9" s="1515"/>
      <c r="BC9" s="1515"/>
      <c r="BD9" s="1515"/>
      <c r="BE9" s="1515"/>
      <c r="BF9" s="1515"/>
      <c r="BG9" s="1515"/>
      <c r="BH9" s="1515"/>
      <c r="BI9" s="1515"/>
      <c r="BJ9" s="1515"/>
      <c r="BK9" s="1515"/>
    </row>
    <row r="10" spans="1:63" s="1526" customFormat="1" ht="18.75" customHeight="1" x14ac:dyDescent="0.2">
      <c r="A10" s="1517">
        <v>4</v>
      </c>
      <c r="B10" s="274" t="s">
        <v>1021</v>
      </c>
      <c r="C10" s="274"/>
      <c r="D10" s="326"/>
      <c r="E10" s="326"/>
      <c r="F10" s="326"/>
      <c r="G10" s="326"/>
      <c r="H10" s="326"/>
      <c r="I10" s="326"/>
      <c r="J10" s="278"/>
      <c r="K10" s="1518"/>
      <c r="L10" s="1519"/>
      <c r="M10" s="326"/>
      <c r="N10" s="279"/>
      <c r="O10" s="278"/>
      <c r="P10" s="1519"/>
      <c r="Q10" s="1520"/>
      <c r="R10" s="1521"/>
      <c r="S10" s="1519"/>
      <c r="T10" s="1518"/>
      <c r="U10" s="1518"/>
      <c r="V10" s="1521"/>
      <c r="W10" s="1521"/>
      <c r="X10" s="1522"/>
      <c r="Y10" s="326"/>
      <c r="Z10" s="326"/>
      <c r="AA10" s="326"/>
      <c r="AB10" s="326"/>
      <c r="AC10" s="326"/>
      <c r="AD10" s="326"/>
      <c r="AE10" s="326"/>
      <c r="AF10" s="326"/>
      <c r="AG10" s="326"/>
      <c r="AH10" s="326"/>
      <c r="AI10" s="326"/>
      <c r="AJ10" s="326"/>
      <c r="AK10" s="1523"/>
      <c r="AL10" s="1523"/>
      <c r="AM10" s="1519"/>
      <c r="AN10" s="1519"/>
      <c r="AO10" s="1519"/>
      <c r="AP10" s="1519"/>
      <c r="AQ10" s="1524"/>
      <c r="AR10" s="1525"/>
      <c r="AS10" s="1525"/>
    </row>
    <row r="11" spans="1:63" s="1229" customFormat="1" ht="21.75" customHeight="1" x14ac:dyDescent="0.2">
      <c r="A11" s="3064"/>
      <c r="B11" s="3067"/>
      <c r="C11" s="3067"/>
      <c r="D11" s="180">
        <v>23</v>
      </c>
      <c r="E11" s="1527" t="s">
        <v>1289</v>
      </c>
      <c r="F11" s="1527"/>
      <c r="G11" s="1528"/>
      <c r="H11" s="1528"/>
      <c r="I11" s="1528"/>
      <c r="J11" s="1529"/>
      <c r="K11" s="1530"/>
      <c r="L11" s="1531"/>
      <c r="M11" s="1528"/>
      <c r="N11" s="1532"/>
      <c r="O11" s="1529"/>
      <c r="P11" s="1531"/>
      <c r="Q11" s="1533"/>
      <c r="R11" s="1534"/>
      <c r="S11" s="1531"/>
      <c r="T11" s="1530"/>
      <c r="U11" s="1530"/>
      <c r="V11" s="1534"/>
      <c r="W11" s="1534"/>
      <c r="X11" s="1535"/>
      <c r="Y11" s="1528"/>
      <c r="Z11" s="1528"/>
      <c r="AA11" s="1528"/>
      <c r="AB11" s="1528"/>
      <c r="AC11" s="1528"/>
      <c r="AD11" s="1528"/>
      <c r="AE11" s="1528"/>
      <c r="AF11" s="1528"/>
      <c r="AG11" s="1528"/>
      <c r="AH11" s="1528"/>
      <c r="AI11" s="1528"/>
      <c r="AJ11" s="1528"/>
      <c r="AK11" s="1536"/>
      <c r="AL11" s="1536"/>
      <c r="AM11" s="1531"/>
      <c r="AN11" s="1531"/>
      <c r="AO11" s="1531"/>
      <c r="AP11" s="1531"/>
      <c r="AQ11" s="1537"/>
    </row>
    <row r="12" spans="1:63" s="1229" customFormat="1" ht="15.75" customHeight="1" x14ac:dyDescent="0.2">
      <c r="A12" s="3065"/>
      <c r="B12" s="3068"/>
      <c r="C12" s="3068"/>
      <c r="D12" s="3069"/>
      <c r="E12" s="3070"/>
      <c r="F12" s="3071"/>
      <c r="G12" s="1538">
        <v>75</v>
      </c>
      <c r="H12" s="191" t="s">
        <v>1290</v>
      </c>
      <c r="I12" s="191"/>
      <c r="J12" s="1539"/>
      <c r="K12" s="1540"/>
      <c r="L12" s="1541"/>
      <c r="M12" s="299"/>
      <c r="N12" s="305"/>
      <c r="O12" s="306"/>
      <c r="P12" s="193"/>
      <c r="Q12" s="1542"/>
      <c r="R12" s="1543"/>
      <c r="S12" s="1541"/>
      <c r="T12" s="1540"/>
      <c r="U12" s="1540"/>
      <c r="V12" s="1543"/>
      <c r="W12" s="1543"/>
      <c r="X12" s="1544"/>
      <c r="Y12" s="299"/>
      <c r="Z12" s="299"/>
      <c r="AA12" s="299"/>
      <c r="AB12" s="299"/>
      <c r="AC12" s="299"/>
      <c r="AD12" s="299"/>
      <c r="AE12" s="299"/>
      <c r="AF12" s="299"/>
      <c r="AG12" s="299"/>
      <c r="AH12" s="299"/>
      <c r="AI12" s="299"/>
      <c r="AJ12" s="299"/>
      <c r="AK12" s="1545"/>
      <c r="AL12" s="1545"/>
      <c r="AM12" s="1541"/>
      <c r="AN12" s="1541"/>
      <c r="AO12" s="1541"/>
      <c r="AP12" s="1541"/>
      <c r="AQ12" s="1546"/>
    </row>
    <row r="13" spans="1:63" s="1165" customFormat="1" ht="65.25" customHeight="1" x14ac:dyDescent="0.2">
      <c r="A13" s="3065"/>
      <c r="B13" s="3068"/>
      <c r="C13" s="3068"/>
      <c r="D13" s="3072"/>
      <c r="E13" s="3073"/>
      <c r="F13" s="3074"/>
      <c r="G13" s="1229"/>
      <c r="H13" s="1547"/>
      <c r="I13" s="1548"/>
      <c r="J13" s="3078">
        <v>214</v>
      </c>
      <c r="K13" s="3080" t="s">
        <v>1291</v>
      </c>
      <c r="L13" s="3099" t="s">
        <v>1292</v>
      </c>
      <c r="M13" s="3101">
        <v>1</v>
      </c>
      <c r="N13" s="3103"/>
      <c r="O13" s="3105" t="s">
        <v>1293</v>
      </c>
      <c r="P13" s="3107" t="s">
        <v>1294</v>
      </c>
      <c r="Q13" s="3109">
        <f>SUM(V13:V14)/R13</f>
        <v>5.2487744082888388E-3</v>
      </c>
      <c r="R13" s="3136">
        <f>SUM(V13:V49)</f>
        <v>6668223337</v>
      </c>
      <c r="S13" s="3121" t="s">
        <v>1295</v>
      </c>
      <c r="T13" s="3121" t="s">
        <v>1296</v>
      </c>
      <c r="U13" s="3080" t="s">
        <v>1297</v>
      </c>
      <c r="V13" s="1549">
        <v>15000000</v>
      </c>
      <c r="W13" s="1550">
        <v>20</v>
      </c>
      <c r="X13" s="1551" t="s">
        <v>1298</v>
      </c>
      <c r="Y13" s="3089">
        <v>292684</v>
      </c>
      <c r="Z13" s="3092">
        <v>282326</v>
      </c>
      <c r="AA13" s="3129">
        <v>174947</v>
      </c>
      <c r="AB13" s="3129">
        <v>128988</v>
      </c>
      <c r="AC13" s="3129">
        <v>197432</v>
      </c>
      <c r="AD13" s="3132">
        <v>73643</v>
      </c>
      <c r="AE13" s="3135"/>
      <c r="AF13" s="3135"/>
      <c r="AG13" s="3113"/>
      <c r="AH13" s="3111"/>
      <c r="AI13" s="3111"/>
      <c r="AJ13" s="3111"/>
      <c r="AK13" s="3111"/>
      <c r="AL13" s="3111"/>
      <c r="AM13" s="3111"/>
      <c r="AN13" s="3113">
        <f>Y13+Z13</f>
        <v>575010</v>
      </c>
      <c r="AO13" s="1552">
        <v>43539</v>
      </c>
      <c r="AP13" s="1553">
        <v>43728</v>
      </c>
      <c r="AQ13" s="3116" t="s">
        <v>1299</v>
      </c>
      <c r="AR13" s="3118"/>
      <c r="AS13" s="3119"/>
    </row>
    <row r="14" spans="1:63" s="1165" customFormat="1" ht="42.75" x14ac:dyDescent="0.2">
      <c r="A14" s="3065"/>
      <c r="B14" s="3068"/>
      <c r="C14" s="3068"/>
      <c r="D14" s="3072"/>
      <c r="E14" s="3073"/>
      <c r="F14" s="3074"/>
      <c r="G14" s="1229"/>
      <c r="H14" s="1554"/>
      <c r="I14" s="1555"/>
      <c r="J14" s="3079"/>
      <c r="K14" s="3081"/>
      <c r="L14" s="3100"/>
      <c r="M14" s="3102"/>
      <c r="N14" s="3104"/>
      <c r="O14" s="3106"/>
      <c r="P14" s="3108"/>
      <c r="Q14" s="3110"/>
      <c r="R14" s="3137"/>
      <c r="S14" s="3121"/>
      <c r="T14" s="3121"/>
      <c r="U14" s="3081"/>
      <c r="V14" s="1549">
        <v>20000000</v>
      </c>
      <c r="W14" s="1550">
        <v>92</v>
      </c>
      <c r="X14" s="1556" t="s">
        <v>1300</v>
      </c>
      <c r="Y14" s="3090"/>
      <c r="Z14" s="3093"/>
      <c r="AA14" s="3130"/>
      <c r="AB14" s="3130"/>
      <c r="AC14" s="3130"/>
      <c r="AD14" s="3133"/>
      <c r="AE14" s="3135"/>
      <c r="AF14" s="3135"/>
      <c r="AG14" s="3114"/>
      <c r="AH14" s="3111"/>
      <c r="AI14" s="3111"/>
      <c r="AJ14" s="3111"/>
      <c r="AK14" s="3111"/>
      <c r="AL14" s="3111"/>
      <c r="AM14" s="3111"/>
      <c r="AN14" s="3114"/>
      <c r="AO14" s="1552"/>
      <c r="AP14" s="1553"/>
      <c r="AQ14" s="3116"/>
      <c r="AR14" s="3118"/>
      <c r="AS14" s="3119"/>
    </row>
    <row r="15" spans="1:63" s="1165" customFormat="1" ht="65.25" customHeight="1" x14ac:dyDescent="0.2">
      <c r="A15" s="3065"/>
      <c r="B15" s="3068"/>
      <c r="C15" s="3068"/>
      <c r="D15" s="3072"/>
      <c r="E15" s="3073"/>
      <c r="F15" s="3074"/>
      <c r="G15" s="1229"/>
      <c r="H15" s="1554"/>
      <c r="I15" s="1555"/>
      <c r="J15" s="1556">
        <v>215</v>
      </c>
      <c r="K15" s="1557" t="s">
        <v>1301</v>
      </c>
      <c r="L15" s="1558" t="s">
        <v>1302</v>
      </c>
      <c r="M15" s="1559">
        <v>2</v>
      </c>
      <c r="N15" s="3104"/>
      <c r="O15" s="3106"/>
      <c r="P15" s="3108"/>
      <c r="Q15" s="1560">
        <f>SUM(V15)/R13</f>
        <v>2.2494747464095024E-3</v>
      </c>
      <c r="R15" s="3137"/>
      <c r="S15" s="3121"/>
      <c r="T15" s="3121"/>
      <c r="U15" s="1557" t="s">
        <v>1303</v>
      </c>
      <c r="V15" s="1267">
        <v>15000000</v>
      </c>
      <c r="W15" s="1550">
        <v>20</v>
      </c>
      <c r="X15" s="1556" t="s">
        <v>1298</v>
      </c>
      <c r="Y15" s="3090"/>
      <c r="Z15" s="3093"/>
      <c r="AA15" s="3130"/>
      <c r="AB15" s="3130"/>
      <c r="AC15" s="3130"/>
      <c r="AD15" s="3133"/>
      <c r="AE15" s="3112"/>
      <c r="AF15" s="3112"/>
      <c r="AG15" s="3127"/>
      <c r="AH15" s="3112"/>
      <c r="AI15" s="3112"/>
      <c r="AJ15" s="3112"/>
      <c r="AK15" s="3112"/>
      <c r="AL15" s="3112"/>
      <c r="AM15" s="3112"/>
      <c r="AN15" s="3114"/>
      <c r="AO15" s="1552">
        <v>43661</v>
      </c>
      <c r="AP15" s="1553">
        <v>43819</v>
      </c>
      <c r="AQ15" s="3117"/>
      <c r="AR15" s="3118"/>
      <c r="AS15" s="3119"/>
    </row>
    <row r="16" spans="1:63" s="1165" customFormat="1" ht="38.25" customHeight="1" x14ac:dyDescent="0.2">
      <c r="A16" s="3065"/>
      <c r="B16" s="3068"/>
      <c r="C16" s="3068"/>
      <c r="D16" s="3072"/>
      <c r="E16" s="3073"/>
      <c r="F16" s="3074"/>
      <c r="G16" s="1229"/>
      <c r="H16" s="1554"/>
      <c r="I16" s="1555"/>
      <c r="J16" s="3120">
        <v>216</v>
      </c>
      <c r="K16" s="3121" t="s">
        <v>1304</v>
      </c>
      <c r="L16" s="3122" t="s">
        <v>1305</v>
      </c>
      <c r="M16" s="3123">
        <v>1.994</v>
      </c>
      <c r="N16" s="3104"/>
      <c r="O16" s="3106"/>
      <c r="P16" s="3108"/>
      <c r="Q16" s="3124">
        <f>SUM(V16:V19)/R13</f>
        <v>0.16121235682601434</v>
      </c>
      <c r="R16" s="3137"/>
      <c r="S16" s="3121"/>
      <c r="T16" s="3121"/>
      <c r="U16" s="1561" t="s">
        <v>1306</v>
      </c>
      <c r="V16" s="1267">
        <v>15000000</v>
      </c>
      <c r="W16" s="238">
        <v>20</v>
      </c>
      <c r="X16" s="258" t="s">
        <v>1307</v>
      </c>
      <c r="Y16" s="3090"/>
      <c r="Z16" s="3093"/>
      <c r="AA16" s="3130"/>
      <c r="AB16" s="3130"/>
      <c r="AC16" s="3130"/>
      <c r="AD16" s="3133"/>
      <c r="AE16" s="3112"/>
      <c r="AF16" s="3112"/>
      <c r="AG16" s="3127"/>
      <c r="AH16" s="3112"/>
      <c r="AI16" s="3112"/>
      <c r="AJ16" s="3112"/>
      <c r="AK16" s="3112"/>
      <c r="AL16" s="3112"/>
      <c r="AM16" s="3112"/>
      <c r="AN16" s="3114"/>
      <c r="AO16" s="1552">
        <v>43631</v>
      </c>
      <c r="AP16" s="1553">
        <v>43819</v>
      </c>
      <c r="AQ16" s="3117"/>
      <c r="AR16" s="3118"/>
      <c r="AS16" s="3119"/>
    </row>
    <row r="17" spans="1:45" s="1165" customFormat="1" ht="44.25" customHeight="1" x14ac:dyDescent="0.2">
      <c r="A17" s="3065"/>
      <c r="B17" s="3068"/>
      <c r="C17" s="3068"/>
      <c r="D17" s="3072"/>
      <c r="E17" s="3073"/>
      <c r="F17" s="3074"/>
      <c r="G17" s="1229"/>
      <c r="H17" s="1554"/>
      <c r="I17" s="1555"/>
      <c r="J17" s="3120"/>
      <c r="K17" s="3121"/>
      <c r="L17" s="3122"/>
      <c r="M17" s="3123"/>
      <c r="N17" s="3104"/>
      <c r="O17" s="3106"/>
      <c r="P17" s="3108"/>
      <c r="Q17" s="3124"/>
      <c r="R17" s="3137"/>
      <c r="S17" s="3121"/>
      <c r="T17" s="3121"/>
      <c r="U17" s="1561" t="s">
        <v>1308</v>
      </c>
      <c r="V17" s="1267">
        <v>850000000</v>
      </c>
      <c r="W17" s="242">
        <v>92</v>
      </c>
      <c r="X17" s="208" t="s">
        <v>1300</v>
      </c>
      <c r="Y17" s="3090"/>
      <c r="Z17" s="3093"/>
      <c r="AA17" s="3130"/>
      <c r="AB17" s="3130"/>
      <c r="AC17" s="3130"/>
      <c r="AD17" s="3133"/>
      <c r="AE17" s="3112"/>
      <c r="AF17" s="3112"/>
      <c r="AG17" s="3127"/>
      <c r="AH17" s="3112"/>
      <c r="AI17" s="3112"/>
      <c r="AJ17" s="3112"/>
      <c r="AK17" s="3112"/>
      <c r="AL17" s="3112"/>
      <c r="AM17" s="3112"/>
      <c r="AN17" s="3114"/>
      <c r="AO17" s="1552"/>
      <c r="AP17" s="1553"/>
      <c r="AQ17" s="3117"/>
      <c r="AR17" s="1562"/>
      <c r="AS17" s="1259"/>
    </row>
    <row r="18" spans="1:45" s="1165" customFormat="1" ht="32.25" customHeight="1" x14ac:dyDescent="0.2">
      <c r="A18" s="3065"/>
      <c r="B18" s="3068"/>
      <c r="C18" s="3068"/>
      <c r="D18" s="3072"/>
      <c r="E18" s="3073"/>
      <c r="F18" s="3074"/>
      <c r="G18" s="1229"/>
      <c r="H18" s="1554"/>
      <c r="I18" s="1555"/>
      <c r="J18" s="3120"/>
      <c r="K18" s="3121"/>
      <c r="L18" s="3122"/>
      <c r="M18" s="3123"/>
      <c r="N18" s="3104"/>
      <c r="O18" s="3106"/>
      <c r="P18" s="3108"/>
      <c r="Q18" s="3124"/>
      <c r="R18" s="3137"/>
      <c r="S18" s="3121"/>
      <c r="T18" s="3121"/>
      <c r="U18" s="3125" t="s">
        <v>1309</v>
      </c>
      <c r="V18" s="1267">
        <v>10000000</v>
      </c>
      <c r="W18" s="238">
        <v>20</v>
      </c>
      <c r="X18" s="1563" t="s">
        <v>1310</v>
      </c>
      <c r="Y18" s="3090"/>
      <c r="Z18" s="3093"/>
      <c r="AA18" s="3130"/>
      <c r="AB18" s="3130"/>
      <c r="AC18" s="3130"/>
      <c r="AD18" s="3133"/>
      <c r="AE18" s="3112"/>
      <c r="AF18" s="3112"/>
      <c r="AG18" s="3127"/>
      <c r="AH18" s="3112"/>
      <c r="AI18" s="3112"/>
      <c r="AJ18" s="3112"/>
      <c r="AK18" s="3112"/>
      <c r="AL18" s="3112"/>
      <c r="AM18" s="3112"/>
      <c r="AN18" s="3114"/>
      <c r="AO18" s="1552"/>
      <c r="AP18" s="1553"/>
      <c r="AQ18" s="3117"/>
      <c r="AR18" s="1562"/>
      <c r="AS18" s="1259"/>
    </row>
    <row r="19" spans="1:45" s="1165" customFormat="1" ht="44.25" customHeight="1" x14ac:dyDescent="0.2">
      <c r="A19" s="3065"/>
      <c r="B19" s="3068"/>
      <c r="C19" s="3068"/>
      <c r="D19" s="3072"/>
      <c r="E19" s="3073"/>
      <c r="F19" s="3074"/>
      <c r="G19" s="1229"/>
      <c r="H19" s="1554"/>
      <c r="I19" s="1555"/>
      <c r="J19" s="3120"/>
      <c r="K19" s="3121"/>
      <c r="L19" s="3122"/>
      <c r="M19" s="3123"/>
      <c r="N19" s="3104"/>
      <c r="O19" s="3106"/>
      <c r="P19" s="3108"/>
      <c r="Q19" s="3124"/>
      <c r="R19" s="3137"/>
      <c r="S19" s="3121"/>
      <c r="T19" s="3121"/>
      <c r="U19" s="3126"/>
      <c r="V19" s="1267">
        <v>200000000</v>
      </c>
      <c r="W19" s="238">
        <v>92</v>
      </c>
      <c r="X19" s="208" t="s">
        <v>1300</v>
      </c>
      <c r="Y19" s="3090"/>
      <c r="Z19" s="3093"/>
      <c r="AA19" s="3130"/>
      <c r="AB19" s="3130"/>
      <c r="AC19" s="3130"/>
      <c r="AD19" s="3133"/>
      <c r="AE19" s="3112"/>
      <c r="AF19" s="3112"/>
      <c r="AG19" s="3127"/>
      <c r="AH19" s="3112"/>
      <c r="AI19" s="3112"/>
      <c r="AJ19" s="3112"/>
      <c r="AK19" s="3112"/>
      <c r="AL19" s="3112"/>
      <c r="AM19" s="3112"/>
      <c r="AN19" s="3114"/>
      <c r="AO19" s="1564">
        <v>43678</v>
      </c>
      <c r="AP19" s="1553">
        <v>43819</v>
      </c>
      <c r="AQ19" s="3117"/>
      <c r="AR19" s="1229"/>
      <c r="AS19" s="1229"/>
    </row>
    <row r="20" spans="1:45" s="1165" customFormat="1" ht="28.5" customHeight="1" x14ac:dyDescent="0.2">
      <c r="A20" s="3065"/>
      <c r="B20" s="3068"/>
      <c r="C20" s="3068"/>
      <c r="D20" s="3072"/>
      <c r="E20" s="3073"/>
      <c r="F20" s="3074"/>
      <c r="G20" s="1229"/>
      <c r="H20" s="1554"/>
      <c r="I20" s="1555"/>
      <c r="J20" s="3078">
        <v>217</v>
      </c>
      <c r="K20" s="3080" t="s">
        <v>1311</v>
      </c>
      <c r="L20" s="3143" t="s">
        <v>1312</v>
      </c>
      <c r="M20" s="3101">
        <v>5</v>
      </c>
      <c r="N20" s="1565"/>
      <c r="O20" s="3106"/>
      <c r="P20" s="3108"/>
      <c r="Q20" s="3147">
        <f>SUM(V20:V46)/R13</f>
        <v>0.81260375712577904</v>
      </c>
      <c r="R20" s="3137"/>
      <c r="S20" s="3121"/>
      <c r="T20" s="3150"/>
      <c r="U20" s="3095" t="s">
        <v>1313</v>
      </c>
      <c r="V20" s="1269">
        <f>1600000000+700000000</f>
        <v>2300000000</v>
      </c>
      <c r="W20" s="1550">
        <v>42</v>
      </c>
      <c r="X20" s="1556" t="s">
        <v>1314</v>
      </c>
      <c r="Y20" s="3090"/>
      <c r="Z20" s="3093"/>
      <c r="AA20" s="3130"/>
      <c r="AB20" s="3130"/>
      <c r="AC20" s="3130"/>
      <c r="AD20" s="3133"/>
      <c r="AE20" s="3112"/>
      <c r="AF20" s="3112"/>
      <c r="AG20" s="3127"/>
      <c r="AH20" s="3112"/>
      <c r="AI20" s="3112"/>
      <c r="AJ20" s="3112"/>
      <c r="AK20" s="3112"/>
      <c r="AL20" s="3112"/>
      <c r="AM20" s="3112"/>
      <c r="AN20" s="3114"/>
      <c r="AO20" s="1552">
        <v>43647</v>
      </c>
      <c r="AP20" s="1553">
        <v>43819</v>
      </c>
      <c r="AQ20" s="3117"/>
      <c r="AR20" s="1229"/>
      <c r="AS20" s="1229"/>
    </row>
    <row r="21" spans="1:45" s="1165" customFormat="1" ht="42.75" x14ac:dyDescent="0.2">
      <c r="A21" s="3065"/>
      <c r="B21" s="3068"/>
      <c r="C21" s="3068"/>
      <c r="D21" s="3072"/>
      <c r="E21" s="3073"/>
      <c r="F21" s="3074"/>
      <c r="G21" s="1229"/>
      <c r="H21" s="1554"/>
      <c r="I21" s="1555"/>
      <c r="J21" s="3141"/>
      <c r="K21" s="3142"/>
      <c r="L21" s="3144"/>
      <c r="M21" s="3146"/>
      <c r="N21" s="1565"/>
      <c r="O21" s="3106"/>
      <c r="P21" s="3108"/>
      <c r="Q21" s="3148"/>
      <c r="R21" s="3137"/>
      <c r="S21" s="3121"/>
      <c r="T21" s="3150"/>
      <c r="U21" s="3096"/>
      <c r="V21" s="1269">
        <v>2200000000</v>
      </c>
      <c r="W21" s="1550">
        <v>92</v>
      </c>
      <c r="X21" s="1556" t="s">
        <v>1300</v>
      </c>
      <c r="Y21" s="3090"/>
      <c r="Z21" s="3093"/>
      <c r="AA21" s="3130"/>
      <c r="AB21" s="3130"/>
      <c r="AC21" s="3130"/>
      <c r="AD21" s="3133"/>
      <c r="AE21" s="3112"/>
      <c r="AF21" s="3112"/>
      <c r="AG21" s="3127"/>
      <c r="AH21" s="3112"/>
      <c r="AI21" s="3112"/>
      <c r="AJ21" s="3112"/>
      <c r="AK21" s="3112"/>
      <c r="AL21" s="3112"/>
      <c r="AM21" s="3112"/>
      <c r="AN21" s="3114"/>
      <c r="AO21" s="1552"/>
      <c r="AP21" s="1553"/>
      <c r="AQ21" s="3117"/>
      <c r="AR21" s="1229"/>
      <c r="AS21" s="1229"/>
    </row>
    <row r="22" spans="1:45" s="1165" customFormat="1" ht="28.5" x14ac:dyDescent="0.2">
      <c r="A22" s="3065"/>
      <c r="B22" s="3068"/>
      <c r="C22" s="3068"/>
      <c r="D22" s="3072"/>
      <c r="E22" s="3073"/>
      <c r="F22" s="3074"/>
      <c r="G22" s="1229"/>
      <c r="H22" s="1554"/>
      <c r="I22" s="1555"/>
      <c r="J22" s="3141"/>
      <c r="K22" s="3142"/>
      <c r="L22" s="3144"/>
      <c r="M22" s="3146"/>
      <c r="N22" s="1565"/>
      <c r="O22" s="3106"/>
      <c r="P22" s="3108"/>
      <c r="Q22" s="3148"/>
      <c r="R22" s="3137"/>
      <c r="S22" s="3121"/>
      <c r="T22" s="3150"/>
      <c r="U22" s="3095" t="s">
        <v>1315</v>
      </c>
      <c r="V22" s="1267">
        <v>100000000</v>
      </c>
      <c r="W22" s="1550">
        <v>42</v>
      </c>
      <c r="X22" s="1556" t="s">
        <v>1314</v>
      </c>
      <c r="Y22" s="3090"/>
      <c r="Z22" s="3093"/>
      <c r="AA22" s="3130"/>
      <c r="AB22" s="3130"/>
      <c r="AC22" s="3130"/>
      <c r="AD22" s="3133"/>
      <c r="AE22" s="3112"/>
      <c r="AF22" s="3112"/>
      <c r="AG22" s="3127"/>
      <c r="AH22" s="3112"/>
      <c r="AI22" s="3112"/>
      <c r="AJ22" s="3112"/>
      <c r="AK22" s="3112"/>
      <c r="AL22" s="3112"/>
      <c r="AM22" s="3112"/>
      <c r="AN22" s="3114"/>
      <c r="AO22" s="1552">
        <v>43539</v>
      </c>
      <c r="AP22" s="1553">
        <v>43819</v>
      </c>
      <c r="AQ22" s="3117"/>
      <c r="AR22" s="1229"/>
      <c r="AS22" s="1229"/>
    </row>
    <row r="23" spans="1:45" s="1165" customFormat="1" ht="48" customHeight="1" x14ac:dyDescent="0.2">
      <c r="A23" s="3065"/>
      <c r="B23" s="3068"/>
      <c r="C23" s="3068"/>
      <c r="D23" s="3072"/>
      <c r="E23" s="3073"/>
      <c r="F23" s="3074"/>
      <c r="G23" s="1229"/>
      <c r="H23" s="1554"/>
      <c r="I23" s="1555"/>
      <c r="J23" s="3141"/>
      <c r="K23" s="3142"/>
      <c r="L23" s="3144"/>
      <c r="M23" s="3146"/>
      <c r="N23" s="1565"/>
      <c r="O23" s="3106"/>
      <c r="P23" s="3108"/>
      <c r="Q23" s="3148"/>
      <c r="R23" s="3137"/>
      <c r="S23" s="3121"/>
      <c r="T23" s="3150"/>
      <c r="U23" s="3096"/>
      <c r="V23" s="1267">
        <v>98623337</v>
      </c>
      <c r="W23" s="1550">
        <v>92</v>
      </c>
      <c r="X23" s="1556" t="s">
        <v>1300</v>
      </c>
      <c r="Y23" s="3090"/>
      <c r="Z23" s="3093"/>
      <c r="AA23" s="3130"/>
      <c r="AB23" s="3130"/>
      <c r="AC23" s="3130"/>
      <c r="AD23" s="3133"/>
      <c r="AE23" s="3112"/>
      <c r="AF23" s="3112"/>
      <c r="AG23" s="3127"/>
      <c r="AH23" s="3112"/>
      <c r="AI23" s="3112"/>
      <c r="AJ23" s="3112"/>
      <c r="AK23" s="3112"/>
      <c r="AL23" s="3112"/>
      <c r="AM23" s="3112"/>
      <c r="AN23" s="3114"/>
      <c r="AO23" s="1552"/>
      <c r="AP23" s="1553"/>
      <c r="AQ23" s="3117"/>
      <c r="AR23" s="1229"/>
      <c r="AS23" s="1229"/>
    </row>
    <row r="24" spans="1:45" s="1165" customFormat="1" ht="25.5" customHeight="1" x14ac:dyDescent="0.2">
      <c r="A24" s="3065"/>
      <c r="B24" s="3068"/>
      <c r="C24" s="3068"/>
      <c r="D24" s="3072"/>
      <c r="E24" s="3073"/>
      <c r="F24" s="3074"/>
      <c r="G24" s="1229"/>
      <c r="H24" s="1554"/>
      <c r="I24" s="1555"/>
      <c r="J24" s="3141"/>
      <c r="K24" s="3142"/>
      <c r="L24" s="3144"/>
      <c r="M24" s="3146"/>
      <c r="N24" s="1565"/>
      <c r="O24" s="3106"/>
      <c r="P24" s="3108"/>
      <c r="Q24" s="3148"/>
      <c r="R24" s="3137"/>
      <c r="S24" s="3121"/>
      <c r="T24" s="3150"/>
      <c r="U24" s="3095" t="s">
        <v>1316</v>
      </c>
      <c r="V24" s="1267">
        <v>100000000</v>
      </c>
      <c r="W24" s="1550">
        <v>42</v>
      </c>
      <c r="X24" s="1556" t="s">
        <v>1314</v>
      </c>
      <c r="Y24" s="3090"/>
      <c r="Z24" s="3093"/>
      <c r="AA24" s="3130"/>
      <c r="AB24" s="3130"/>
      <c r="AC24" s="3130"/>
      <c r="AD24" s="3133"/>
      <c r="AE24" s="3112"/>
      <c r="AF24" s="3112"/>
      <c r="AG24" s="3127"/>
      <c r="AH24" s="3112"/>
      <c r="AI24" s="3112"/>
      <c r="AJ24" s="3112"/>
      <c r="AK24" s="3112"/>
      <c r="AL24" s="3112"/>
      <c r="AM24" s="3112"/>
      <c r="AN24" s="3114"/>
      <c r="AO24" s="1552">
        <v>43539</v>
      </c>
      <c r="AP24" s="1553">
        <v>43819</v>
      </c>
      <c r="AQ24" s="3117"/>
      <c r="AR24" s="1229"/>
      <c r="AS24" s="1229"/>
    </row>
    <row r="25" spans="1:45" s="1165" customFormat="1" ht="50.25" customHeight="1" x14ac:dyDescent="0.2">
      <c r="A25" s="3065"/>
      <c r="B25" s="3068"/>
      <c r="C25" s="3068"/>
      <c r="D25" s="3072"/>
      <c r="E25" s="3073"/>
      <c r="F25" s="3074"/>
      <c r="G25" s="1229"/>
      <c r="H25" s="1554"/>
      <c r="I25" s="1555"/>
      <c r="J25" s="3141"/>
      <c r="K25" s="3142"/>
      <c r="L25" s="3144"/>
      <c r="M25" s="3146"/>
      <c r="N25" s="1565"/>
      <c r="O25" s="3106"/>
      <c r="P25" s="3108"/>
      <c r="Q25" s="3148"/>
      <c r="R25" s="3137"/>
      <c r="S25" s="3121"/>
      <c r="T25" s="3150"/>
      <c r="U25" s="3096"/>
      <c r="V25" s="1267">
        <v>20000000</v>
      </c>
      <c r="W25" s="1550">
        <v>92</v>
      </c>
      <c r="X25" s="1556" t="s">
        <v>1300</v>
      </c>
      <c r="Y25" s="3090"/>
      <c r="Z25" s="3093"/>
      <c r="AA25" s="3130"/>
      <c r="AB25" s="3130"/>
      <c r="AC25" s="3130"/>
      <c r="AD25" s="3133"/>
      <c r="AE25" s="3112"/>
      <c r="AF25" s="3112"/>
      <c r="AG25" s="3127"/>
      <c r="AH25" s="3112"/>
      <c r="AI25" s="3112"/>
      <c r="AJ25" s="3112"/>
      <c r="AK25" s="3112"/>
      <c r="AL25" s="3112"/>
      <c r="AM25" s="3112"/>
      <c r="AN25" s="3114"/>
      <c r="AO25" s="1552"/>
      <c r="AP25" s="1553"/>
      <c r="AQ25" s="3117"/>
      <c r="AR25" s="1229"/>
      <c r="AS25" s="1229"/>
    </row>
    <row r="26" spans="1:45" s="1165" customFormat="1" ht="54" customHeight="1" x14ac:dyDescent="0.2">
      <c r="A26" s="3065"/>
      <c r="B26" s="3068"/>
      <c r="C26" s="3068"/>
      <c r="D26" s="3072"/>
      <c r="E26" s="3073"/>
      <c r="F26" s="3074"/>
      <c r="G26" s="1229"/>
      <c r="H26" s="1554"/>
      <c r="I26" s="1555"/>
      <c r="J26" s="3141"/>
      <c r="K26" s="3142"/>
      <c r="L26" s="3144"/>
      <c r="M26" s="3146"/>
      <c r="N26" s="1565"/>
      <c r="O26" s="3106"/>
      <c r="P26" s="3108"/>
      <c r="Q26" s="3148"/>
      <c r="R26" s="3137"/>
      <c r="S26" s="3121"/>
      <c r="T26" s="3150"/>
      <c r="U26" s="266" t="s">
        <v>1317</v>
      </c>
      <c r="V26" s="1267">
        <v>3000000</v>
      </c>
      <c r="W26" s="1550">
        <v>42</v>
      </c>
      <c r="X26" s="1556" t="s">
        <v>1314</v>
      </c>
      <c r="Y26" s="3090"/>
      <c r="Z26" s="3093"/>
      <c r="AA26" s="3130"/>
      <c r="AB26" s="3130"/>
      <c r="AC26" s="3130"/>
      <c r="AD26" s="3133"/>
      <c r="AE26" s="3112"/>
      <c r="AF26" s="3112"/>
      <c r="AG26" s="3127"/>
      <c r="AH26" s="3112"/>
      <c r="AI26" s="3112"/>
      <c r="AJ26" s="3112"/>
      <c r="AK26" s="3112"/>
      <c r="AL26" s="3112"/>
      <c r="AM26" s="3112"/>
      <c r="AN26" s="3114"/>
      <c r="AO26" s="1552">
        <v>43539</v>
      </c>
      <c r="AP26" s="1553">
        <v>43646</v>
      </c>
      <c r="AQ26" s="3117"/>
      <c r="AR26" s="1229"/>
      <c r="AS26" s="1229"/>
    </row>
    <row r="27" spans="1:45" s="1165" customFormat="1" ht="28.5" x14ac:dyDescent="0.2">
      <c r="A27" s="3065"/>
      <c r="B27" s="3068"/>
      <c r="C27" s="3068"/>
      <c r="D27" s="3072"/>
      <c r="E27" s="3073"/>
      <c r="F27" s="3074"/>
      <c r="G27" s="1229"/>
      <c r="H27" s="1554"/>
      <c r="I27" s="1555"/>
      <c r="J27" s="3141"/>
      <c r="K27" s="3142"/>
      <c r="L27" s="3144"/>
      <c r="M27" s="3146"/>
      <c r="N27" s="1565" t="s">
        <v>1318</v>
      </c>
      <c r="O27" s="3106"/>
      <c r="P27" s="3108"/>
      <c r="Q27" s="3148"/>
      <c r="R27" s="3137"/>
      <c r="S27" s="3121"/>
      <c r="T27" s="3150"/>
      <c r="U27" s="3095" t="s">
        <v>1319</v>
      </c>
      <c r="V27" s="1267">
        <v>50000000</v>
      </c>
      <c r="W27" s="1550">
        <v>42</v>
      </c>
      <c r="X27" s="1556" t="s">
        <v>1314</v>
      </c>
      <c r="Y27" s="3090"/>
      <c r="Z27" s="3093"/>
      <c r="AA27" s="3130"/>
      <c r="AB27" s="3130"/>
      <c r="AC27" s="3130"/>
      <c r="AD27" s="3133"/>
      <c r="AE27" s="3112"/>
      <c r="AF27" s="3112"/>
      <c r="AG27" s="3127"/>
      <c r="AH27" s="3112"/>
      <c r="AI27" s="3112"/>
      <c r="AJ27" s="3112"/>
      <c r="AK27" s="3112"/>
      <c r="AL27" s="3112"/>
      <c r="AM27" s="3112"/>
      <c r="AN27" s="3114"/>
      <c r="AO27" s="1552">
        <v>43570</v>
      </c>
      <c r="AP27" s="1553">
        <v>43819</v>
      </c>
      <c r="AQ27" s="3117"/>
      <c r="AR27" s="1229"/>
      <c r="AS27" s="1229"/>
    </row>
    <row r="28" spans="1:45" s="1165" customFormat="1" ht="42.75" x14ac:dyDescent="0.2">
      <c r="A28" s="3065"/>
      <c r="B28" s="3068"/>
      <c r="C28" s="3068"/>
      <c r="D28" s="3072"/>
      <c r="E28" s="3073"/>
      <c r="F28" s="3074"/>
      <c r="G28" s="1229"/>
      <c r="H28" s="1554"/>
      <c r="I28" s="1555"/>
      <c r="J28" s="3141"/>
      <c r="K28" s="3142"/>
      <c r="L28" s="3144"/>
      <c r="M28" s="3146"/>
      <c r="N28" s="1565"/>
      <c r="O28" s="3106"/>
      <c r="P28" s="3108"/>
      <c r="Q28" s="3148"/>
      <c r="R28" s="3137"/>
      <c r="S28" s="3121"/>
      <c r="T28" s="3150"/>
      <c r="U28" s="3096"/>
      <c r="V28" s="1267">
        <v>47000000</v>
      </c>
      <c r="W28" s="1550">
        <v>92</v>
      </c>
      <c r="X28" s="1556" t="s">
        <v>1300</v>
      </c>
      <c r="Y28" s="3090"/>
      <c r="Z28" s="3093"/>
      <c r="AA28" s="3130"/>
      <c r="AB28" s="3130"/>
      <c r="AC28" s="3130"/>
      <c r="AD28" s="3133"/>
      <c r="AE28" s="3112"/>
      <c r="AF28" s="3112"/>
      <c r="AG28" s="3127"/>
      <c r="AH28" s="3112"/>
      <c r="AI28" s="3112"/>
      <c r="AJ28" s="3112"/>
      <c r="AK28" s="3112"/>
      <c r="AL28" s="3112"/>
      <c r="AM28" s="3112"/>
      <c r="AN28" s="3114"/>
      <c r="AO28" s="1552"/>
      <c r="AP28" s="1553"/>
      <c r="AQ28" s="3117"/>
      <c r="AR28" s="1229"/>
      <c r="AS28" s="1229"/>
    </row>
    <row r="29" spans="1:45" s="1165" customFormat="1" ht="28.5" x14ac:dyDescent="0.2">
      <c r="A29" s="3065"/>
      <c r="B29" s="3068"/>
      <c r="C29" s="3068"/>
      <c r="D29" s="3072"/>
      <c r="E29" s="3073"/>
      <c r="F29" s="3074"/>
      <c r="G29" s="1229"/>
      <c r="H29" s="1554"/>
      <c r="I29" s="1555"/>
      <c r="J29" s="3141"/>
      <c r="K29" s="3142"/>
      <c r="L29" s="3144"/>
      <c r="M29" s="3146"/>
      <c r="N29" s="1565"/>
      <c r="O29" s="3106"/>
      <c r="P29" s="3108"/>
      <c r="Q29" s="3148"/>
      <c r="R29" s="3137"/>
      <c r="S29" s="3121"/>
      <c r="T29" s="3150"/>
      <c r="U29" s="3095" t="s">
        <v>1320</v>
      </c>
      <c r="V29" s="1267">
        <v>35100000</v>
      </c>
      <c r="W29" s="1550">
        <v>42</v>
      </c>
      <c r="X29" s="1556" t="s">
        <v>1314</v>
      </c>
      <c r="Y29" s="3090"/>
      <c r="Z29" s="3093"/>
      <c r="AA29" s="3130"/>
      <c r="AB29" s="3130"/>
      <c r="AC29" s="3130"/>
      <c r="AD29" s="3133"/>
      <c r="AE29" s="3112"/>
      <c r="AF29" s="3112"/>
      <c r="AG29" s="3127"/>
      <c r="AH29" s="3112"/>
      <c r="AI29" s="3112"/>
      <c r="AJ29" s="3112"/>
      <c r="AK29" s="3112"/>
      <c r="AL29" s="3112"/>
      <c r="AM29" s="3112"/>
      <c r="AN29" s="3114"/>
      <c r="AO29" s="1552">
        <v>43539</v>
      </c>
      <c r="AP29" s="1553">
        <v>43819</v>
      </c>
      <c r="AQ29" s="3117"/>
      <c r="AR29" s="1229"/>
      <c r="AS29" s="1229"/>
    </row>
    <row r="30" spans="1:45" s="1165" customFormat="1" ht="48.75" customHeight="1" x14ac:dyDescent="0.2">
      <c r="A30" s="3065"/>
      <c r="B30" s="3068"/>
      <c r="C30" s="3068"/>
      <c r="D30" s="3072"/>
      <c r="E30" s="3073"/>
      <c r="F30" s="3074"/>
      <c r="G30" s="1229"/>
      <c r="H30" s="1554"/>
      <c r="I30" s="1555"/>
      <c r="J30" s="3141"/>
      <c r="K30" s="3142"/>
      <c r="L30" s="3144"/>
      <c r="M30" s="3146"/>
      <c r="N30" s="1565"/>
      <c r="O30" s="3106"/>
      <c r="P30" s="3108"/>
      <c r="Q30" s="3148"/>
      <c r="R30" s="3137"/>
      <c r="S30" s="3121"/>
      <c r="T30" s="3150"/>
      <c r="U30" s="3096"/>
      <c r="V30" s="1267">
        <v>85000000</v>
      </c>
      <c r="W30" s="1550">
        <v>92</v>
      </c>
      <c r="X30" s="1556" t="s">
        <v>1300</v>
      </c>
      <c r="Y30" s="3090"/>
      <c r="Z30" s="3093"/>
      <c r="AA30" s="3130"/>
      <c r="AB30" s="3130"/>
      <c r="AC30" s="3130"/>
      <c r="AD30" s="3133"/>
      <c r="AE30" s="3112"/>
      <c r="AF30" s="3112"/>
      <c r="AG30" s="3127"/>
      <c r="AH30" s="3112"/>
      <c r="AI30" s="3112"/>
      <c r="AJ30" s="3112"/>
      <c r="AK30" s="3112"/>
      <c r="AL30" s="3112"/>
      <c r="AM30" s="3112"/>
      <c r="AN30" s="3114"/>
      <c r="AO30" s="1552"/>
      <c r="AP30" s="1553"/>
      <c r="AQ30" s="3117"/>
      <c r="AR30" s="1229"/>
      <c r="AS30" s="1229"/>
    </row>
    <row r="31" spans="1:45" s="1165" customFormat="1" ht="28.5" x14ac:dyDescent="0.2">
      <c r="A31" s="3065"/>
      <c r="B31" s="3068"/>
      <c r="C31" s="3068"/>
      <c r="D31" s="3072"/>
      <c r="E31" s="3073"/>
      <c r="F31" s="3074"/>
      <c r="G31" s="1229"/>
      <c r="H31" s="1554"/>
      <c r="I31" s="1555"/>
      <c r="J31" s="3141"/>
      <c r="K31" s="3142"/>
      <c r="L31" s="3144"/>
      <c r="M31" s="3146"/>
      <c r="N31" s="1565" t="s">
        <v>1321</v>
      </c>
      <c r="O31" s="3106"/>
      <c r="P31" s="3108"/>
      <c r="Q31" s="3148"/>
      <c r="R31" s="3137"/>
      <c r="S31" s="3121"/>
      <c r="T31" s="3150"/>
      <c r="U31" s="3095" t="s">
        <v>1322</v>
      </c>
      <c r="V31" s="1267">
        <v>20000000</v>
      </c>
      <c r="W31" s="1550">
        <v>42</v>
      </c>
      <c r="X31" s="1556" t="s">
        <v>1314</v>
      </c>
      <c r="Y31" s="3090"/>
      <c r="Z31" s="3093"/>
      <c r="AA31" s="3130"/>
      <c r="AB31" s="3130"/>
      <c r="AC31" s="3130"/>
      <c r="AD31" s="3133"/>
      <c r="AE31" s="3112"/>
      <c r="AF31" s="3112"/>
      <c r="AG31" s="3127"/>
      <c r="AH31" s="3112"/>
      <c r="AI31" s="3112"/>
      <c r="AJ31" s="3112"/>
      <c r="AK31" s="3112"/>
      <c r="AL31" s="3112"/>
      <c r="AM31" s="3112"/>
      <c r="AN31" s="3114"/>
      <c r="AO31" s="1552">
        <v>43570</v>
      </c>
      <c r="AP31" s="1553">
        <v>43819</v>
      </c>
      <c r="AQ31" s="3117"/>
      <c r="AR31" s="1229"/>
      <c r="AS31" s="1229"/>
    </row>
    <row r="32" spans="1:45" s="1165" customFormat="1" ht="40.5" customHeight="1" x14ac:dyDescent="0.2">
      <c r="A32" s="3065"/>
      <c r="B32" s="3068"/>
      <c r="C32" s="3068"/>
      <c r="D32" s="3072"/>
      <c r="E32" s="3073"/>
      <c r="F32" s="3074"/>
      <c r="G32" s="1229"/>
      <c r="H32" s="1554"/>
      <c r="I32" s="1555"/>
      <c r="J32" s="3141"/>
      <c r="K32" s="3142"/>
      <c r="L32" s="3144"/>
      <c r="M32" s="3146"/>
      <c r="N32" s="1565"/>
      <c r="O32" s="3106"/>
      <c r="P32" s="3108"/>
      <c r="Q32" s="3148"/>
      <c r="R32" s="3137"/>
      <c r="S32" s="3121"/>
      <c r="T32" s="3150"/>
      <c r="U32" s="3096"/>
      <c r="V32" s="1267">
        <v>53000000</v>
      </c>
      <c r="W32" s="1550">
        <v>92</v>
      </c>
      <c r="X32" s="1556" t="s">
        <v>1300</v>
      </c>
      <c r="Y32" s="3090"/>
      <c r="Z32" s="3093"/>
      <c r="AA32" s="3130"/>
      <c r="AB32" s="3130"/>
      <c r="AC32" s="3130"/>
      <c r="AD32" s="3133"/>
      <c r="AE32" s="3112"/>
      <c r="AF32" s="3112"/>
      <c r="AG32" s="3127"/>
      <c r="AH32" s="3112"/>
      <c r="AI32" s="3112"/>
      <c r="AJ32" s="3112"/>
      <c r="AK32" s="3112"/>
      <c r="AL32" s="3112"/>
      <c r="AM32" s="3112"/>
      <c r="AN32" s="3114"/>
      <c r="AO32" s="1552"/>
      <c r="AP32" s="1553"/>
      <c r="AQ32" s="3117"/>
      <c r="AR32" s="1229"/>
      <c r="AS32" s="1229"/>
    </row>
    <row r="33" spans="1:45" s="1165" customFormat="1" ht="28.5" x14ac:dyDescent="0.2">
      <c r="A33" s="3065"/>
      <c r="B33" s="3068"/>
      <c r="C33" s="3068"/>
      <c r="D33" s="3072"/>
      <c r="E33" s="3073"/>
      <c r="F33" s="3074"/>
      <c r="G33" s="1229"/>
      <c r="H33" s="1554"/>
      <c r="I33" s="1555"/>
      <c r="J33" s="3141"/>
      <c r="K33" s="3142"/>
      <c r="L33" s="3144"/>
      <c r="M33" s="3146"/>
      <c r="N33" s="1565"/>
      <c r="O33" s="3106"/>
      <c r="P33" s="3108"/>
      <c r="Q33" s="3148"/>
      <c r="R33" s="3137"/>
      <c r="S33" s="3121"/>
      <c r="T33" s="3150"/>
      <c r="U33" s="3095" t="s">
        <v>1323</v>
      </c>
      <c r="V33" s="1267">
        <v>45000000</v>
      </c>
      <c r="W33" s="1550">
        <v>42</v>
      </c>
      <c r="X33" s="1556" t="s">
        <v>1314</v>
      </c>
      <c r="Y33" s="3090"/>
      <c r="Z33" s="3093"/>
      <c r="AA33" s="3130"/>
      <c r="AB33" s="3130"/>
      <c r="AC33" s="3130"/>
      <c r="AD33" s="3133"/>
      <c r="AE33" s="3112"/>
      <c r="AF33" s="3112"/>
      <c r="AG33" s="3127"/>
      <c r="AH33" s="3112"/>
      <c r="AI33" s="3112"/>
      <c r="AJ33" s="3112"/>
      <c r="AK33" s="3112"/>
      <c r="AL33" s="3112"/>
      <c r="AM33" s="3112"/>
      <c r="AN33" s="3114"/>
      <c r="AO33" s="1552">
        <v>43480</v>
      </c>
      <c r="AP33" s="1553">
        <v>43646</v>
      </c>
      <c r="AQ33" s="3117"/>
      <c r="AR33" s="1229"/>
      <c r="AS33" s="1229"/>
    </row>
    <row r="34" spans="1:45" s="1165" customFormat="1" ht="42.75" x14ac:dyDescent="0.2">
      <c r="A34" s="3065"/>
      <c r="B34" s="3068"/>
      <c r="C34" s="3068"/>
      <c r="D34" s="3072"/>
      <c r="E34" s="3073"/>
      <c r="F34" s="3074"/>
      <c r="G34" s="1229"/>
      <c r="H34" s="1554"/>
      <c r="I34" s="1555"/>
      <c r="J34" s="3141"/>
      <c r="K34" s="3142"/>
      <c r="L34" s="3144"/>
      <c r="M34" s="3146"/>
      <c r="N34" s="1565"/>
      <c r="O34" s="3106"/>
      <c r="P34" s="3108"/>
      <c r="Q34" s="3148"/>
      <c r="R34" s="3137"/>
      <c r="S34" s="3121"/>
      <c r="T34" s="3150"/>
      <c r="U34" s="3096"/>
      <c r="V34" s="1267">
        <v>50000000</v>
      </c>
      <c r="W34" s="1550">
        <v>92</v>
      </c>
      <c r="X34" s="1556" t="s">
        <v>1300</v>
      </c>
      <c r="Y34" s="3090"/>
      <c r="Z34" s="3093"/>
      <c r="AA34" s="3130"/>
      <c r="AB34" s="3130"/>
      <c r="AC34" s="3130"/>
      <c r="AD34" s="3133"/>
      <c r="AE34" s="3112"/>
      <c r="AF34" s="3112"/>
      <c r="AG34" s="3127"/>
      <c r="AH34" s="3112"/>
      <c r="AI34" s="3112"/>
      <c r="AJ34" s="3112"/>
      <c r="AK34" s="3112"/>
      <c r="AL34" s="3112"/>
      <c r="AM34" s="3112"/>
      <c r="AN34" s="3114"/>
      <c r="AO34" s="1552"/>
      <c r="AP34" s="1553"/>
      <c r="AQ34" s="3117"/>
      <c r="AR34" s="1229"/>
      <c r="AS34" s="1229"/>
    </row>
    <row r="35" spans="1:45" s="1165" customFormat="1" ht="38.25" customHeight="1" x14ac:dyDescent="0.2">
      <c r="A35" s="3065"/>
      <c r="B35" s="3068"/>
      <c r="C35" s="3068"/>
      <c r="D35" s="3072"/>
      <c r="E35" s="3073"/>
      <c r="F35" s="3074"/>
      <c r="G35" s="1229"/>
      <c r="H35" s="1554"/>
      <c r="I35" s="1555"/>
      <c r="J35" s="3141"/>
      <c r="K35" s="3142"/>
      <c r="L35" s="3144"/>
      <c r="M35" s="3146"/>
      <c r="N35" s="1565"/>
      <c r="O35" s="3106"/>
      <c r="P35" s="3108"/>
      <c r="Q35" s="3148"/>
      <c r="R35" s="3137"/>
      <c r="S35" s="3121"/>
      <c r="T35" s="3150"/>
      <c r="U35" s="266" t="s">
        <v>1324</v>
      </c>
      <c r="V35" s="1267">
        <v>50000000</v>
      </c>
      <c r="W35" s="1550">
        <v>42</v>
      </c>
      <c r="X35" s="1556" t="s">
        <v>1314</v>
      </c>
      <c r="Y35" s="3090"/>
      <c r="Z35" s="3093"/>
      <c r="AA35" s="3130"/>
      <c r="AB35" s="3130"/>
      <c r="AC35" s="3130"/>
      <c r="AD35" s="3133"/>
      <c r="AE35" s="3112"/>
      <c r="AF35" s="3112"/>
      <c r="AG35" s="3127"/>
      <c r="AH35" s="3112"/>
      <c r="AI35" s="3112"/>
      <c r="AJ35" s="3112"/>
      <c r="AK35" s="3112"/>
      <c r="AL35" s="3112"/>
      <c r="AM35" s="3112"/>
      <c r="AN35" s="3114"/>
      <c r="AO35" s="1552">
        <v>43480</v>
      </c>
      <c r="AP35" s="1553">
        <v>43646</v>
      </c>
      <c r="AQ35" s="3117"/>
      <c r="AR35" s="1229"/>
      <c r="AS35" s="1229"/>
    </row>
    <row r="36" spans="1:45" s="1165" customFormat="1" ht="28.5" x14ac:dyDescent="0.2">
      <c r="A36" s="3065"/>
      <c r="B36" s="3068"/>
      <c r="C36" s="3068"/>
      <c r="D36" s="3072"/>
      <c r="E36" s="3073"/>
      <c r="F36" s="3074"/>
      <c r="G36" s="1229"/>
      <c r="H36" s="1554"/>
      <c r="I36" s="1555"/>
      <c r="J36" s="3141"/>
      <c r="K36" s="3142"/>
      <c r="L36" s="3144"/>
      <c r="M36" s="3146"/>
      <c r="N36" s="1565"/>
      <c r="O36" s="3106"/>
      <c r="P36" s="3108"/>
      <c r="Q36" s="3148"/>
      <c r="R36" s="3137"/>
      <c r="S36" s="3121"/>
      <c r="T36" s="3150"/>
      <c r="U36" s="3095" t="s">
        <v>1325</v>
      </c>
      <c r="V36" s="1267">
        <v>15000000</v>
      </c>
      <c r="W36" s="1550">
        <v>42</v>
      </c>
      <c r="X36" s="1556" t="s">
        <v>1314</v>
      </c>
      <c r="Y36" s="3090"/>
      <c r="Z36" s="3093"/>
      <c r="AA36" s="3130"/>
      <c r="AB36" s="3130"/>
      <c r="AC36" s="3130"/>
      <c r="AD36" s="3133"/>
      <c r="AE36" s="3112"/>
      <c r="AF36" s="3112"/>
      <c r="AG36" s="3127"/>
      <c r="AH36" s="3112"/>
      <c r="AI36" s="3112"/>
      <c r="AJ36" s="3112"/>
      <c r="AK36" s="3112"/>
      <c r="AL36" s="3112"/>
      <c r="AM36" s="3112"/>
      <c r="AN36" s="3114"/>
      <c r="AO36" s="1552">
        <v>43580</v>
      </c>
      <c r="AP36" s="1553">
        <v>43631</v>
      </c>
      <c r="AQ36" s="3117"/>
      <c r="AR36" s="1229"/>
      <c r="AS36" s="1229"/>
    </row>
    <row r="37" spans="1:45" s="1165" customFormat="1" ht="42.75" x14ac:dyDescent="0.2">
      <c r="A37" s="3065"/>
      <c r="B37" s="3068"/>
      <c r="C37" s="3068"/>
      <c r="D37" s="3072"/>
      <c r="E37" s="3073"/>
      <c r="F37" s="3074"/>
      <c r="G37" s="1229"/>
      <c r="H37" s="1554"/>
      <c r="I37" s="1555"/>
      <c r="J37" s="3141"/>
      <c r="K37" s="3142"/>
      <c r="L37" s="3144"/>
      <c r="M37" s="3146"/>
      <c r="N37" s="1565" t="s">
        <v>1326</v>
      </c>
      <c r="O37" s="3106"/>
      <c r="P37" s="3108"/>
      <c r="Q37" s="3148"/>
      <c r="R37" s="3137"/>
      <c r="S37" s="3121"/>
      <c r="T37" s="3150"/>
      <c r="U37" s="3096"/>
      <c r="V37" s="1267">
        <v>15000000</v>
      </c>
      <c r="W37" s="1550">
        <v>92</v>
      </c>
      <c r="X37" s="1556" t="s">
        <v>1300</v>
      </c>
      <c r="Y37" s="3090"/>
      <c r="Z37" s="3093"/>
      <c r="AA37" s="3130"/>
      <c r="AB37" s="3130"/>
      <c r="AC37" s="3130"/>
      <c r="AD37" s="3133"/>
      <c r="AE37" s="3112"/>
      <c r="AF37" s="3112"/>
      <c r="AG37" s="3127"/>
      <c r="AH37" s="3112"/>
      <c r="AI37" s="3112"/>
      <c r="AJ37" s="3112"/>
      <c r="AK37" s="3112"/>
      <c r="AL37" s="3112"/>
      <c r="AM37" s="3112"/>
      <c r="AN37" s="3114"/>
      <c r="AO37" s="1552"/>
      <c r="AP37" s="1553"/>
      <c r="AQ37" s="3117"/>
      <c r="AR37" s="1229"/>
      <c r="AS37" s="1229"/>
    </row>
    <row r="38" spans="1:45" s="1165" customFormat="1" ht="42.75" x14ac:dyDescent="0.2">
      <c r="A38" s="3065"/>
      <c r="B38" s="3068"/>
      <c r="C38" s="3068"/>
      <c r="D38" s="3072"/>
      <c r="E38" s="3073"/>
      <c r="F38" s="3074"/>
      <c r="G38" s="1229"/>
      <c r="H38" s="1554"/>
      <c r="I38" s="1555"/>
      <c r="J38" s="3141"/>
      <c r="K38" s="3142"/>
      <c r="L38" s="3144"/>
      <c r="M38" s="3146"/>
      <c r="N38" s="1565"/>
      <c r="O38" s="3106"/>
      <c r="P38" s="3108"/>
      <c r="Q38" s="3148"/>
      <c r="R38" s="3137"/>
      <c r="S38" s="3121"/>
      <c r="T38" s="3150"/>
      <c r="U38" s="267" t="s">
        <v>1327</v>
      </c>
      <c r="V38" s="1267">
        <v>30000000</v>
      </c>
      <c r="W38" s="1550">
        <v>92</v>
      </c>
      <c r="X38" s="1556" t="s">
        <v>1300</v>
      </c>
      <c r="Y38" s="3090"/>
      <c r="Z38" s="3093"/>
      <c r="AA38" s="3130"/>
      <c r="AB38" s="3130"/>
      <c r="AC38" s="3130"/>
      <c r="AD38" s="3133"/>
      <c r="AE38" s="3112"/>
      <c r="AF38" s="3112"/>
      <c r="AG38" s="3127"/>
      <c r="AH38" s="3112"/>
      <c r="AI38" s="3112"/>
      <c r="AJ38" s="3112"/>
      <c r="AK38" s="3112"/>
      <c r="AL38" s="3112"/>
      <c r="AM38" s="3112"/>
      <c r="AN38" s="3114"/>
      <c r="AO38" s="1552"/>
      <c r="AP38" s="1553"/>
      <c r="AQ38" s="3117"/>
      <c r="AR38" s="1229"/>
      <c r="AS38" s="1229"/>
    </row>
    <row r="39" spans="1:45" s="1165" customFormat="1" ht="28.5" x14ac:dyDescent="0.2">
      <c r="A39" s="3065"/>
      <c r="B39" s="3068"/>
      <c r="C39" s="3068"/>
      <c r="D39" s="3072"/>
      <c r="E39" s="3073"/>
      <c r="F39" s="3074"/>
      <c r="G39" s="1229"/>
      <c r="H39" s="1554"/>
      <c r="I39" s="1555"/>
      <c r="J39" s="3141"/>
      <c r="K39" s="3142"/>
      <c r="L39" s="3144"/>
      <c r="M39" s="3146"/>
      <c r="N39" s="1565"/>
      <c r="O39" s="3106"/>
      <c r="P39" s="3108"/>
      <c r="Q39" s="3148"/>
      <c r="R39" s="3137"/>
      <c r="S39" s="3121"/>
      <c r="T39" s="3150"/>
      <c r="U39" s="3097" t="s">
        <v>1328</v>
      </c>
      <c r="V39" s="1267">
        <v>10900000</v>
      </c>
      <c r="W39" s="1550">
        <v>42</v>
      </c>
      <c r="X39" s="1556" t="s">
        <v>1314</v>
      </c>
      <c r="Y39" s="3090"/>
      <c r="Z39" s="3093"/>
      <c r="AA39" s="3130"/>
      <c r="AB39" s="3130"/>
      <c r="AC39" s="3130"/>
      <c r="AD39" s="3133"/>
      <c r="AE39" s="3112"/>
      <c r="AF39" s="3112"/>
      <c r="AG39" s="3127"/>
      <c r="AH39" s="3112"/>
      <c r="AI39" s="3112"/>
      <c r="AJ39" s="3112"/>
      <c r="AK39" s="3112"/>
      <c r="AL39" s="3112"/>
      <c r="AM39" s="3112"/>
      <c r="AN39" s="3114"/>
      <c r="AO39" s="1552">
        <v>43480</v>
      </c>
      <c r="AP39" s="1553">
        <v>43600</v>
      </c>
      <c r="AQ39" s="3117"/>
      <c r="AR39" s="1229"/>
      <c r="AS39" s="1229"/>
    </row>
    <row r="40" spans="1:45" s="1165" customFormat="1" ht="42.75" x14ac:dyDescent="0.2">
      <c r="A40" s="3065"/>
      <c r="B40" s="3068"/>
      <c r="C40" s="3068"/>
      <c r="D40" s="3072"/>
      <c r="E40" s="3073"/>
      <c r="F40" s="3074"/>
      <c r="G40" s="1229"/>
      <c r="H40" s="1554"/>
      <c r="I40" s="1555"/>
      <c r="J40" s="3141"/>
      <c r="K40" s="3142"/>
      <c r="L40" s="3144"/>
      <c r="M40" s="3146"/>
      <c r="N40" s="1565"/>
      <c r="O40" s="3106"/>
      <c r="P40" s="3108"/>
      <c r="Q40" s="3148"/>
      <c r="R40" s="3137"/>
      <c r="S40" s="3121"/>
      <c r="T40" s="3150"/>
      <c r="U40" s="3098"/>
      <c r="V40" s="1267">
        <v>10000000</v>
      </c>
      <c r="W40" s="1550">
        <v>92</v>
      </c>
      <c r="X40" s="1556" t="s">
        <v>1300</v>
      </c>
      <c r="Y40" s="3090"/>
      <c r="Z40" s="3093"/>
      <c r="AA40" s="3130"/>
      <c r="AB40" s="3130"/>
      <c r="AC40" s="3130"/>
      <c r="AD40" s="3133"/>
      <c r="AE40" s="3112"/>
      <c r="AF40" s="3112"/>
      <c r="AG40" s="3127"/>
      <c r="AH40" s="3112"/>
      <c r="AI40" s="3112"/>
      <c r="AJ40" s="3112"/>
      <c r="AK40" s="3112"/>
      <c r="AL40" s="3112"/>
      <c r="AM40" s="3112"/>
      <c r="AN40" s="3114"/>
      <c r="AO40" s="1552"/>
      <c r="AP40" s="1553"/>
      <c r="AQ40" s="3117"/>
      <c r="AR40" s="1229"/>
      <c r="AS40" s="1229"/>
    </row>
    <row r="41" spans="1:45" s="1165" customFormat="1" ht="28.5" x14ac:dyDescent="0.2">
      <c r="A41" s="3065"/>
      <c r="B41" s="3068"/>
      <c r="C41" s="3068"/>
      <c r="D41" s="3072"/>
      <c r="E41" s="3073"/>
      <c r="F41" s="3074"/>
      <c r="G41" s="1229"/>
      <c r="H41" s="1554"/>
      <c r="I41" s="1555"/>
      <c r="J41" s="3141"/>
      <c r="K41" s="3142"/>
      <c r="L41" s="3144"/>
      <c r="M41" s="3146"/>
      <c r="N41" s="1565"/>
      <c r="O41" s="3106"/>
      <c r="P41" s="3108"/>
      <c r="Q41" s="3148"/>
      <c r="R41" s="3137"/>
      <c r="S41" s="3121"/>
      <c r="T41" s="3150"/>
      <c r="U41" s="3097" t="s">
        <v>1329</v>
      </c>
      <c r="V41" s="1267">
        <v>10000000</v>
      </c>
      <c r="W41" s="1550">
        <v>42</v>
      </c>
      <c r="X41" s="1556" t="s">
        <v>1314</v>
      </c>
      <c r="Y41" s="3090"/>
      <c r="Z41" s="3093"/>
      <c r="AA41" s="3130"/>
      <c r="AB41" s="3130"/>
      <c r="AC41" s="3130"/>
      <c r="AD41" s="3133"/>
      <c r="AE41" s="3112"/>
      <c r="AF41" s="3112"/>
      <c r="AG41" s="3127"/>
      <c r="AH41" s="3112"/>
      <c r="AI41" s="3112"/>
      <c r="AJ41" s="3112"/>
      <c r="AK41" s="3112"/>
      <c r="AL41" s="3112"/>
      <c r="AM41" s="3112"/>
      <c r="AN41" s="3114"/>
      <c r="AO41" s="1552">
        <v>43480</v>
      </c>
      <c r="AP41" s="1553">
        <v>43600</v>
      </c>
      <c r="AQ41" s="3117"/>
      <c r="AR41" s="1229"/>
      <c r="AS41" s="1229"/>
    </row>
    <row r="42" spans="1:45" s="1165" customFormat="1" ht="42.75" x14ac:dyDescent="0.2">
      <c r="A42" s="3065"/>
      <c r="B42" s="3068"/>
      <c r="C42" s="3068"/>
      <c r="D42" s="3072"/>
      <c r="E42" s="3073"/>
      <c r="F42" s="3074"/>
      <c r="G42" s="1229"/>
      <c r="H42" s="1554"/>
      <c r="I42" s="1555"/>
      <c r="J42" s="3141"/>
      <c r="K42" s="3142"/>
      <c r="L42" s="3144"/>
      <c r="M42" s="3146"/>
      <c r="N42" s="1565"/>
      <c r="O42" s="3106"/>
      <c r="P42" s="3108"/>
      <c r="Q42" s="3148"/>
      <c r="R42" s="3137"/>
      <c r="S42" s="3121"/>
      <c r="T42" s="3150"/>
      <c r="U42" s="3098"/>
      <c r="V42" s="1267">
        <v>10000000</v>
      </c>
      <c r="W42" s="1550">
        <v>92</v>
      </c>
      <c r="X42" s="1556" t="s">
        <v>1300</v>
      </c>
      <c r="Y42" s="3090"/>
      <c r="Z42" s="3093"/>
      <c r="AA42" s="3130"/>
      <c r="AB42" s="3130"/>
      <c r="AC42" s="3130"/>
      <c r="AD42" s="3133"/>
      <c r="AE42" s="3112"/>
      <c r="AF42" s="3112"/>
      <c r="AG42" s="3127"/>
      <c r="AH42" s="3112"/>
      <c r="AI42" s="3112"/>
      <c r="AJ42" s="3112"/>
      <c r="AK42" s="3112"/>
      <c r="AL42" s="3112"/>
      <c r="AM42" s="3112"/>
      <c r="AN42" s="3114"/>
      <c r="AO42" s="1552"/>
      <c r="AP42" s="1553"/>
      <c r="AQ42" s="3117"/>
      <c r="AR42" s="1229"/>
      <c r="AS42" s="1229"/>
    </row>
    <row r="43" spans="1:45" s="1165" customFormat="1" ht="42.75" customHeight="1" x14ac:dyDescent="0.2">
      <c r="A43" s="3065"/>
      <c r="B43" s="3068"/>
      <c r="C43" s="3068"/>
      <c r="D43" s="3072"/>
      <c r="E43" s="3073"/>
      <c r="F43" s="3074"/>
      <c r="G43" s="1229"/>
      <c r="H43" s="1554"/>
      <c r="I43" s="1555"/>
      <c r="J43" s="3141"/>
      <c r="K43" s="3142"/>
      <c r="L43" s="3144"/>
      <c r="M43" s="3146"/>
      <c r="N43" s="1565"/>
      <c r="O43" s="3106"/>
      <c r="P43" s="3108"/>
      <c r="Q43" s="3148"/>
      <c r="R43" s="3137"/>
      <c r="S43" s="3121"/>
      <c r="T43" s="3150"/>
      <c r="U43" s="3097" t="s">
        <v>1330</v>
      </c>
      <c r="V43" s="1267">
        <v>10000000</v>
      </c>
      <c r="W43" s="1550">
        <v>42</v>
      </c>
      <c r="X43" s="1556" t="s">
        <v>1314</v>
      </c>
      <c r="Y43" s="3090"/>
      <c r="Z43" s="3093"/>
      <c r="AA43" s="3130"/>
      <c r="AB43" s="3130"/>
      <c r="AC43" s="3130"/>
      <c r="AD43" s="3133"/>
      <c r="AE43" s="3112"/>
      <c r="AF43" s="3112"/>
      <c r="AG43" s="3127"/>
      <c r="AH43" s="3112"/>
      <c r="AI43" s="3112"/>
      <c r="AJ43" s="3112"/>
      <c r="AK43" s="3112"/>
      <c r="AL43" s="3112"/>
      <c r="AM43" s="3112"/>
      <c r="AN43" s="3114"/>
      <c r="AO43" s="1552">
        <v>43480</v>
      </c>
      <c r="AP43" s="1553">
        <v>43600</v>
      </c>
      <c r="AQ43" s="3117"/>
      <c r="AR43" s="1229"/>
      <c r="AS43" s="1229"/>
    </row>
    <row r="44" spans="1:45" s="1165" customFormat="1" ht="42.75" x14ac:dyDescent="0.2">
      <c r="A44" s="3065"/>
      <c r="B44" s="3068"/>
      <c r="C44" s="3068"/>
      <c r="D44" s="3072"/>
      <c r="E44" s="3073"/>
      <c r="F44" s="3074"/>
      <c r="G44" s="1229"/>
      <c r="H44" s="1554"/>
      <c r="I44" s="1555"/>
      <c r="J44" s="3141"/>
      <c r="K44" s="3142"/>
      <c r="L44" s="3144"/>
      <c r="M44" s="3146"/>
      <c r="N44" s="1565"/>
      <c r="O44" s="3106"/>
      <c r="P44" s="3108"/>
      <c r="Q44" s="3148"/>
      <c r="R44" s="3137"/>
      <c r="S44" s="3121"/>
      <c r="T44" s="3150"/>
      <c r="U44" s="3098"/>
      <c r="V44" s="1267">
        <v>10000000</v>
      </c>
      <c r="W44" s="1550">
        <v>92</v>
      </c>
      <c r="X44" s="1556" t="s">
        <v>1300</v>
      </c>
      <c r="Y44" s="3090"/>
      <c r="Z44" s="3093"/>
      <c r="AA44" s="3130"/>
      <c r="AB44" s="3130"/>
      <c r="AC44" s="3130"/>
      <c r="AD44" s="3133"/>
      <c r="AE44" s="3112"/>
      <c r="AF44" s="3112"/>
      <c r="AG44" s="3127"/>
      <c r="AH44" s="3112"/>
      <c r="AI44" s="3112"/>
      <c r="AJ44" s="3112"/>
      <c r="AK44" s="3112"/>
      <c r="AL44" s="3112"/>
      <c r="AM44" s="3112"/>
      <c r="AN44" s="3114"/>
      <c r="AO44" s="1552"/>
      <c r="AP44" s="1553"/>
      <c r="AQ44" s="3117"/>
      <c r="AR44" s="1229"/>
      <c r="AS44" s="1229"/>
    </row>
    <row r="45" spans="1:45" s="1165" customFormat="1" ht="57" customHeight="1" x14ac:dyDescent="0.2">
      <c r="A45" s="3065"/>
      <c r="B45" s="3068"/>
      <c r="C45" s="3068"/>
      <c r="D45" s="3072"/>
      <c r="E45" s="3073"/>
      <c r="F45" s="3074"/>
      <c r="G45" s="1229"/>
      <c r="H45" s="1554"/>
      <c r="I45" s="1555"/>
      <c r="J45" s="3141"/>
      <c r="K45" s="3142"/>
      <c r="L45" s="3144"/>
      <c r="M45" s="3146"/>
      <c r="N45" s="1565"/>
      <c r="O45" s="3106"/>
      <c r="P45" s="3108"/>
      <c r="Q45" s="3148"/>
      <c r="R45" s="3137"/>
      <c r="S45" s="3121"/>
      <c r="T45" s="3150"/>
      <c r="U45" s="3097" t="s">
        <v>1331</v>
      </c>
      <c r="V45" s="1267">
        <v>11000000</v>
      </c>
      <c r="W45" s="1550">
        <v>42</v>
      </c>
      <c r="X45" s="1556" t="s">
        <v>1314</v>
      </c>
      <c r="Y45" s="3090"/>
      <c r="Z45" s="3093"/>
      <c r="AA45" s="3130"/>
      <c r="AB45" s="3130"/>
      <c r="AC45" s="3130"/>
      <c r="AD45" s="3133"/>
      <c r="AE45" s="3112"/>
      <c r="AF45" s="3112"/>
      <c r="AG45" s="3127"/>
      <c r="AH45" s="3112"/>
      <c r="AI45" s="3112"/>
      <c r="AJ45" s="3112"/>
      <c r="AK45" s="3112"/>
      <c r="AL45" s="3112"/>
      <c r="AM45" s="3112"/>
      <c r="AN45" s="3114"/>
      <c r="AO45" s="1552">
        <v>43480</v>
      </c>
      <c r="AP45" s="1553">
        <v>43646</v>
      </c>
      <c r="AQ45" s="3117"/>
      <c r="AR45" s="1229"/>
      <c r="AS45" s="1229"/>
    </row>
    <row r="46" spans="1:45" s="1165" customFormat="1" ht="42.75" x14ac:dyDescent="0.2">
      <c r="A46" s="3065"/>
      <c r="B46" s="1566"/>
      <c r="C46" s="1567"/>
      <c r="D46" s="3072"/>
      <c r="E46" s="3073"/>
      <c r="F46" s="3074"/>
      <c r="G46" s="1229"/>
      <c r="H46" s="1554"/>
      <c r="I46" s="1555"/>
      <c r="J46" s="3079"/>
      <c r="K46" s="3081"/>
      <c r="L46" s="3145"/>
      <c r="M46" s="3102"/>
      <c r="N46" s="1565"/>
      <c r="O46" s="3106"/>
      <c r="P46" s="3108"/>
      <c r="Q46" s="3149"/>
      <c r="R46" s="3137"/>
      <c r="S46" s="3121"/>
      <c r="T46" s="3150"/>
      <c r="U46" s="3098"/>
      <c r="V46" s="1267">
        <v>30000000</v>
      </c>
      <c r="W46" s="1550">
        <v>92</v>
      </c>
      <c r="X46" s="1556" t="s">
        <v>1300</v>
      </c>
      <c r="Y46" s="3090"/>
      <c r="Z46" s="3093"/>
      <c r="AA46" s="3130"/>
      <c r="AB46" s="3130"/>
      <c r="AC46" s="3130"/>
      <c r="AD46" s="3133"/>
      <c r="AE46" s="3112"/>
      <c r="AF46" s="3112"/>
      <c r="AG46" s="3127"/>
      <c r="AH46" s="3112"/>
      <c r="AI46" s="3112"/>
      <c r="AJ46" s="3112"/>
      <c r="AK46" s="3112"/>
      <c r="AL46" s="3112"/>
      <c r="AM46" s="3112"/>
      <c r="AN46" s="3114"/>
      <c r="AO46" s="1552"/>
      <c r="AP46" s="1553"/>
      <c r="AQ46" s="3117"/>
      <c r="AR46" s="1229"/>
      <c r="AS46" s="1229"/>
    </row>
    <row r="47" spans="1:45" s="1165" customFormat="1" ht="61.5" customHeight="1" x14ac:dyDescent="0.2">
      <c r="A47" s="3065"/>
      <c r="B47" s="1568"/>
      <c r="C47" s="1569"/>
      <c r="D47" s="3072"/>
      <c r="E47" s="3073"/>
      <c r="F47" s="3074"/>
      <c r="G47" s="1229"/>
      <c r="H47" s="1554"/>
      <c r="I47" s="1555"/>
      <c r="J47" s="3120">
        <v>218</v>
      </c>
      <c r="K47" s="3121" t="s">
        <v>1332</v>
      </c>
      <c r="L47" s="3122" t="s">
        <v>1333</v>
      </c>
      <c r="M47" s="3139">
        <v>3</v>
      </c>
      <c r="N47" s="1565"/>
      <c r="O47" s="3106"/>
      <c r="P47" s="3108"/>
      <c r="Q47" s="3140">
        <f>SUM(V47:V49)/R13</f>
        <v>1.8685636893508266E-2</v>
      </c>
      <c r="R47" s="3137"/>
      <c r="S47" s="3121"/>
      <c r="T47" s="3121"/>
      <c r="U47" s="3097" t="s">
        <v>1334</v>
      </c>
      <c r="V47" s="1570">
        <v>45600000</v>
      </c>
      <c r="W47" s="1550">
        <v>20</v>
      </c>
      <c r="X47" s="1556" t="s">
        <v>1298</v>
      </c>
      <c r="Y47" s="3090"/>
      <c r="Z47" s="3093"/>
      <c r="AA47" s="3130"/>
      <c r="AB47" s="3130"/>
      <c r="AC47" s="3130"/>
      <c r="AD47" s="3133"/>
      <c r="AE47" s="3112"/>
      <c r="AF47" s="3112"/>
      <c r="AG47" s="3127"/>
      <c r="AH47" s="3112"/>
      <c r="AI47" s="3112"/>
      <c r="AJ47" s="3112"/>
      <c r="AK47" s="3112"/>
      <c r="AL47" s="3112"/>
      <c r="AM47" s="3112"/>
      <c r="AN47" s="3114"/>
      <c r="AO47" s="1552">
        <v>43480</v>
      </c>
      <c r="AP47" s="1553">
        <v>43646</v>
      </c>
      <c r="AQ47" s="3117"/>
      <c r="AR47" s="1571"/>
      <c r="AS47" s="1229"/>
    </row>
    <row r="48" spans="1:45" s="1165" customFormat="1" ht="42.75" x14ac:dyDescent="0.2">
      <c r="A48" s="3065"/>
      <c r="B48" s="1568"/>
      <c r="C48" s="1569"/>
      <c r="D48" s="3072"/>
      <c r="E48" s="3073"/>
      <c r="F48" s="3074"/>
      <c r="G48" s="1229"/>
      <c r="H48" s="1554"/>
      <c r="I48" s="1555"/>
      <c r="J48" s="3120"/>
      <c r="K48" s="3121"/>
      <c r="L48" s="3122"/>
      <c r="M48" s="3139"/>
      <c r="N48" s="1565"/>
      <c r="O48" s="3106"/>
      <c r="P48" s="3108"/>
      <c r="Q48" s="3140"/>
      <c r="R48" s="3137"/>
      <c r="S48" s="3121"/>
      <c r="T48" s="3121"/>
      <c r="U48" s="3098"/>
      <c r="V48" s="1570">
        <v>75000000</v>
      </c>
      <c r="W48" s="1572">
        <v>92</v>
      </c>
      <c r="X48" s="1556" t="s">
        <v>1300</v>
      </c>
      <c r="Y48" s="3090"/>
      <c r="Z48" s="3093"/>
      <c r="AA48" s="3130"/>
      <c r="AB48" s="3130"/>
      <c r="AC48" s="3130"/>
      <c r="AD48" s="3133"/>
      <c r="AE48" s="3112"/>
      <c r="AF48" s="3112"/>
      <c r="AG48" s="3127"/>
      <c r="AH48" s="3112"/>
      <c r="AI48" s="3112"/>
      <c r="AJ48" s="3112"/>
      <c r="AK48" s="3112"/>
      <c r="AL48" s="3112"/>
      <c r="AM48" s="3112"/>
      <c r="AN48" s="3114"/>
      <c r="AO48" s="1552"/>
      <c r="AP48" s="1553"/>
      <c r="AQ48" s="3117"/>
      <c r="AR48" s="1571"/>
      <c r="AS48" s="1229"/>
    </row>
    <row r="49" spans="1:45" s="1165" customFormat="1" ht="99.75" x14ac:dyDescent="0.2">
      <c r="A49" s="3065"/>
      <c r="B49" s="3151"/>
      <c r="C49" s="3152"/>
      <c r="D49" s="3072"/>
      <c r="E49" s="3073"/>
      <c r="F49" s="3074"/>
      <c r="G49" s="1229"/>
      <c r="H49" s="1573"/>
      <c r="I49" s="1574"/>
      <c r="J49" s="3120"/>
      <c r="K49" s="3121"/>
      <c r="L49" s="3122"/>
      <c r="M49" s="3139"/>
      <c r="N49" s="1565"/>
      <c r="O49" s="3106"/>
      <c r="P49" s="3108"/>
      <c r="Q49" s="3140"/>
      <c r="R49" s="3138"/>
      <c r="S49" s="3121"/>
      <c r="T49" s="3121"/>
      <c r="U49" s="209" t="s">
        <v>1335</v>
      </c>
      <c r="V49" s="1570">
        <v>4000000</v>
      </c>
      <c r="W49" s="1572">
        <v>20</v>
      </c>
      <c r="X49" s="1575" t="s">
        <v>1298</v>
      </c>
      <c r="Y49" s="3091"/>
      <c r="Z49" s="3094"/>
      <c r="AA49" s="3131"/>
      <c r="AB49" s="3131"/>
      <c r="AC49" s="3131"/>
      <c r="AD49" s="3134"/>
      <c r="AE49" s="3112"/>
      <c r="AF49" s="3112"/>
      <c r="AG49" s="3128"/>
      <c r="AH49" s="3112"/>
      <c r="AI49" s="3112"/>
      <c r="AJ49" s="3112"/>
      <c r="AK49" s="3112"/>
      <c r="AL49" s="3112"/>
      <c r="AM49" s="3112"/>
      <c r="AN49" s="3115"/>
      <c r="AO49" s="1552">
        <v>43600</v>
      </c>
      <c r="AP49" s="1553" t="s">
        <v>1336</v>
      </c>
      <c r="AQ49" s="3117"/>
      <c r="AR49" s="1229"/>
      <c r="AS49" s="1229"/>
    </row>
    <row r="50" spans="1:45" s="1229" customFormat="1" ht="38.25" customHeight="1" x14ac:dyDescent="0.2">
      <c r="A50" s="3065"/>
      <c r="B50" s="3151"/>
      <c r="C50" s="3152"/>
      <c r="D50" s="3072"/>
      <c r="E50" s="3073"/>
      <c r="F50" s="3074"/>
      <c r="G50" s="1538">
        <v>76</v>
      </c>
      <c r="H50" s="191" t="s">
        <v>1337</v>
      </c>
      <c r="I50" s="191"/>
      <c r="J50" s="1576"/>
      <c r="K50" s="1577"/>
      <c r="L50" s="1578"/>
      <c r="M50" s="1579"/>
      <c r="N50" s="305"/>
      <c r="O50" s="306"/>
      <c r="P50" s="193"/>
      <c r="Q50" s="1580"/>
      <c r="R50" s="1581"/>
      <c r="S50" s="1578"/>
      <c r="T50" s="1577"/>
      <c r="U50" s="1577"/>
      <c r="V50" s="1581"/>
      <c r="W50" s="1582"/>
      <c r="X50" s="1578"/>
      <c r="Y50" s="191"/>
      <c r="Z50" s="191"/>
      <c r="AA50" s="191"/>
      <c r="AB50" s="191"/>
      <c r="AC50" s="191"/>
      <c r="AD50" s="191"/>
      <c r="AE50" s="191"/>
      <c r="AF50" s="191"/>
      <c r="AG50" s="191"/>
      <c r="AH50" s="191"/>
      <c r="AI50" s="191"/>
      <c r="AJ50" s="191"/>
      <c r="AK50" s="198"/>
      <c r="AL50" s="198"/>
      <c r="AM50" s="198"/>
      <c r="AN50" s="198"/>
      <c r="AO50" s="198"/>
      <c r="AP50" s="198"/>
      <c r="AQ50" s="1583"/>
    </row>
    <row r="51" spans="1:45" s="1165" customFormat="1" ht="49.5" customHeight="1" x14ac:dyDescent="0.2">
      <c r="A51" s="3065"/>
      <c r="B51" s="3151"/>
      <c r="C51" s="3152"/>
      <c r="D51" s="3072"/>
      <c r="E51" s="3073"/>
      <c r="F51" s="3074"/>
      <c r="G51" s="1229"/>
      <c r="H51" s="1547"/>
      <c r="I51" s="1548"/>
      <c r="J51" s="3155">
        <v>219</v>
      </c>
      <c r="K51" s="3080" t="s">
        <v>1338</v>
      </c>
      <c r="L51" s="3158" t="s">
        <v>1339</v>
      </c>
      <c r="M51" s="3161">
        <v>11</v>
      </c>
      <c r="N51" s="1565"/>
      <c r="O51" s="3105" t="s">
        <v>1340</v>
      </c>
      <c r="P51" s="3107" t="s">
        <v>1341</v>
      </c>
      <c r="Q51" s="3109">
        <f>SUM(V51:V57)/R51</f>
        <v>0.48485153703513656</v>
      </c>
      <c r="R51" s="3136">
        <f>SUM(V51:V65)</f>
        <v>718838837</v>
      </c>
      <c r="S51" s="3121" t="s">
        <v>1342</v>
      </c>
      <c r="T51" s="3150" t="s">
        <v>1343</v>
      </c>
      <c r="U51" s="3172" t="s">
        <v>1344</v>
      </c>
      <c r="V51" s="1570">
        <v>50000000</v>
      </c>
      <c r="W51" s="1584" t="s">
        <v>1345</v>
      </c>
      <c r="X51" s="1585" t="s">
        <v>1346</v>
      </c>
      <c r="Y51" s="3189">
        <v>7650</v>
      </c>
      <c r="Z51" s="3192">
        <v>7350</v>
      </c>
      <c r="AA51" s="3168">
        <v>4564</v>
      </c>
      <c r="AB51" s="3168">
        <v>3365</v>
      </c>
      <c r="AC51" s="3168">
        <v>1921</v>
      </c>
      <c r="AD51" s="3168">
        <v>5150</v>
      </c>
      <c r="AE51" s="3179"/>
      <c r="AF51" s="3179"/>
      <c r="AG51" s="3179"/>
      <c r="AH51" s="3179"/>
      <c r="AI51" s="3179"/>
      <c r="AJ51" s="3179"/>
      <c r="AK51" s="3179"/>
      <c r="AL51" s="3179"/>
      <c r="AM51" s="3179"/>
      <c r="AN51" s="3183">
        <f>+Y51+Z51</f>
        <v>15000</v>
      </c>
      <c r="AO51" s="1586">
        <v>43480</v>
      </c>
      <c r="AP51" s="1586">
        <v>43600</v>
      </c>
      <c r="AQ51" s="3185" t="s">
        <v>1347</v>
      </c>
      <c r="AR51" s="1229"/>
      <c r="AS51" s="1229"/>
    </row>
    <row r="52" spans="1:45" s="1165" customFormat="1" ht="51.75" customHeight="1" x14ac:dyDescent="0.2">
      <c r="A52" s="3065"/>
      <c r="B52" s="3151"/>
      <c r="C52" s="3152"/>
      <c r="D52" s="3072"/>
      <c r="E52" s="3073"/>
      <c r="F52" s="3074"/>
      <c r="G52" s="1229"/>
      <c r="H52" s="1554"/>
      <c r="I52" s="1555"/>
      <c r="J52" s="3156"/>
      <c r="K52" s="3142"/>
      <c r="L52" s="3159"/>
      <c r="M52" s="3162"/>
      <c r="N52" s="1565"/>
      <c r="O52" s="3106"/>
      <c r="P52" s="3108"/>
      <c r="Q52" s="3171"/>
      <c r="R52" s="3137"/>
      <c r="S52" s="3121"/>
      <c r="T52" s="3150"/>
      <c r="U52" s="3173"/>
      <c r="V52" s="1570">
        <v>130657749</v>
      </c>
      <c r="W52" s="1584" t="s">
        <v>1348</v>
      </c>
      <c r="X52" s="1585" t="s">
        <v>1300</v>
      </c>
      <c r="Y52" s="3190"/>
      <c r="Z52" s="3193"/>
      <c r="AA52" s="3169"/>
      <c r="AB52" s="3169"/>
      <c r="AC52" s="3169"/>
      <c r="AD52" s="3169"/>
      <c r="AE52" s="3180"/>
      <c r="AF52" s="3180"/>
      <c r="AG52" s="3180"/>
      <c r="AH52" s="3180"/>
      <c r="AI52" s="3180"/>
      <c r="AJ52" s="3180"/>
      <c r="AK52" s="3180"/>
      <c r="AL52" s="3180"/>
      <c r="AM52" s="3180"/>
      <c r="AN52" s="3183"/>
      <c r="AO52" s="1586"/>
      <c r="AP52" s="1586"/>
      <c r="AQ52" s="3186"/>
      <c r="AR52" s="1229"/>
      <c r="AS52" s="1229"/>
    </row>
    <row r="53" spans="1:45" s="1165" customFormat="1" ht="50.25" customHeight="1" x14ac:dyDescent="0.2">
      <c r="A53" s="3065"/>
      <c r="B53" s="3151"/>
      <c r="C53" s="3152"/>
      <c r="D53" s="3072"/>
      <c r="E53" s="3073"/>
      <c r="F53" s="3074"/>
      <c r="G53" s="1229"/>
      <c r="H53" s="1554"/>
      <c r="I53" s="1555"/>
      <c r="J53" s="3156"/>
      <c r="K53" s="3142"/>
      <c r="L53" s="3159"/>
      <c r="M53" s="3162"/>
      <c r="N53" s="1565"/>
      <c r="O53" s="3106"/>
      <c r="P53" s="3108"/>
      <c r="Q53" s="3171"/>
      <c r="R53" s="3137"/>
      <c r="S53" s="3121"/>
      <c r="T53" s="3150"/>
      <c r="U53" s="3172" t="s">
        <v>1349</v>
      </c>
      <c r="V53" s="1570">
        <v>23500000</v>
      </c>
      <c r="W53" s="1587">
        <v>20</v>
      </c>
      <c r="X53" s="1588" t="s">
        <v>1350</v>
      </c>
      <c r="Y53" s="3190"/>
      <c r="Z53" s="3193"/>
      <c r="AA53" s="3169"/>
      <c r="AB53" s="3169"/>
      <c r="AC53" s="3169"/>
      <c r="AD53" s="3169"/>
      <c r="AE53" s="3180"/>
      <c r="AF53" s="3180"/>
      <c r="AG53" s="3180"/>
      <c r="AH53" s="3180"/>
      <c r="AI53" s="3180"/>
      <c r="AJ53" s="3180"/>
      <c r="AK53" s="3180"/>
      <c r="AL53" s="3180"/>
      <c r="AM53" s="3180"/>
      <c r="AN53" s="3183"/>
      <c r="AO53" s="1586">
        <v>43480</v>
      </c>
      <c r="AP53" s="1586">
        <v>43600</v>
      </c>
      <c r="AQ53" s="3186"/>
      <c r="AR53" s="1229"/>
      <c r="AS53" s="1229"/>
    </row>
    <row r="54" spans="1:45" s="1165" customFormat="1" ht="41.25" customHeight="1" x14ac:dyDescent="0.2">
      <c r="A54" s="3065"/>
      <c r="B54" s="3151"/>
      <c r="C54" s="3152"/>
      <c r="D54" s="3072"/>
      <c r="E54" s="3073"/>
      <c r="F54" s="3074"/>
      <c r="G54" s="1229"/>
      <c r="H54" s="1554"/>
      <c r="I54" s="1555"/>
      <c r="J54" s="3156"/>
      <c r="K54" s="3142"/>
      <c r="L54" s="3159"/>
      <c r="M54" s="3162"/>
      <c r="N54" s="1565"/>
      <c r="O54" s="3106"/>
      <c r="P54" s="3108"/>
      <c r="Q54" s="3171"/>
      <c r="R54" s="3137"/>
      <c r="S54" s="3121"/>
      <c r="T54" s="3150"/>
      <c r="U54" s="3173"/>
      <c r="V54" s="1570">
        <v>55000000</v>
      </c>
      <c r="W54" s="1584">
        <v>92</v>
      </c>
      <c r="X54" s="1585" t="s">
        <v>1314</v>
      </c>
      <c r="Y54" s="3190"/>
      <c r="Z54" s="3193"/>
      <c r="AA54" s="3169"/>
      <c r="AB54" s="3169"/>
      <c r="AC54" s="3169"/>
      <c r="AD54" s="3169"/>
      <c r="AE54" s="3180"/>
      <c r="AF54" s="3180"/>
      <c r="AG54" s="3180"/>
      <c r="AH54" s="3180"/>
      <c r="AI54" s="3180"/>
      <c r="AJ54" s="3180"/>
      <c r="AK54" s="3180"/>
      <c r="AL54" s="3180"/>
      <c r="AM54" s="3180"/>
      <c r="AN54" s="3183"/>
      <c r="AO54" s="1586"/>
      <c r="AP54" s="1586"/>
      <c r="AQ54" s="3186"/>
      <c r="AR54" s="1229"/>
      <c r="AS54" s="1229"/>
    </row>
    <row r="55" spans="1:45" s="1165" customFormat="1" ht="36" customHeight="1" x14ac:dyDescent="0.2">
      <c r="A55" s="3065"/>
      <c r="B55" s="3151"/>
      <c r="C55" s="3152"/>
      <c r="D55" s="3072"/>
      <c r="E55" s="3073"/>
      <c r="F55" s="3074"/>
      <c r="G55" s="1229"/>
      <c r="H55" s="1554"/>
      <c r="I55" s="1555"/>
      <c r="J55" s="3156"/>
      <c r="K55" s="3142"/>
      <c r="L55" s="3159"/>
      <c r="M55" s="3162"/>
      <c r="N55" s="1565"/>
      <c r="O55" s="3106"/>
      <c r="P55" s="3108"/>
      <c r="Q55" s="3171"/>
      <c r="R55" s="3137"/>
      <c r="S55" s="3121"/>
      <c r="T55" s="3150"/>
      <c r="U55" s="3172" t="s">
        <v>1351</v>
      </c>
      <c r="V55" s="1570">
        <v>23500000</v>
      </c>
      <c r="W55" s="1587">
        <v>20</v>
      </c>
      <c r="X55" s="1589" t="s">
        <v>1350</v>
      </c>
      <c r="Y55" s="3190"/>
      <c r="Z55" s="3193"/>
      <c r="AA55" s="3169"/>
      <c r="AB55" s="3169"/>
      <c r="AC55" s="3169"/>
      <c r="AD55" s="3169"/>
      <c r="AE55" s="3180"/>
      <c r="AF55" s="3180"/>
      <c r="AG55" s="3180"/>
      <c r="AH55" s="3180"/>
      <c r="AI55" s="3180"/>
      <c r="AJ55" s="3180"/>
      <c r="AK55" s="3180"/>
      <c r="AL55" s="3180"/>
      <c r="AM55" s="3180"/>
      <c r="AN55" s="3183"/>
      <c r="AO55" s="1586">
        <v>43480</v>
      </c>
      <c r="AP55" s="1586">
        <v>43600</v>
      </c>
      <c r="AQ55" s="3186"/>
      <c r="AR55" s="3118"/>
      <c r="AS55" s="1229"/>
    </row>
    <row r="56" spans="1:45" s="1165" customFormat="1" ht="42" customHeight="1" x14ac:dyDescent="0.2">
      <c r="A56" s="3065"/>
      <c r="B56" s="3151"/>
      <c r="C56" s="3152"/>
      <c r="D56" s="3072"/>
      <c r="E56" s="3073"/>
      <c r="F56" s="3074"/>
      <c r="G56" s="1229"/>
      <c r="H56" s="1554"/>
      <c r="I56" s="1555"/>
      <c r="J56" s="3156"/>
      <c r="K56" s="3142"/>
      <c r="L56" s="3159"/>
      <c r="M56" s="3162"/>
      <c r="N56" s="1565" t="s">
        <v>1352</v>
      </c>
      <c r="O56" s="3106"/>
      <c r="P56" s="3108"/>
      <c r="Q56" s="3171"/>
      <c r="R56" s="3137"/>
      <c r="S56" s="3121"/>
      <c r="T56" s="3150"/>
      <c r="U56" s="3173"/>
      <c r="V56" s="1570">
        <v>62872366</v>
      </c>
      <c r="W56" s="1584" t="s">
        <v>1348</v>
      </c>
      <c r="X56" s="1585" t="s">
        <v>1300</v>
      </c>
      <c r="Y56" s="3190"/>
      <c r="Z56" s="3193"/>
      <c r="AA56" s="3169"/>
      <c r="AB56" s="3169"/>
      <c r="AC56" s="3169"/>
      <c r="AD56" s="3169"/>
      <c r="AE56" s="3180"/>
      <c r="AF56" s="3180"/>
      <c r="AG56" s="3180"/>
      <c r="AH56" s="3180"/>
      <c r="AI56" s="3180"/>
      <c r="AJ56" s="3180"/>
      <c r="AK56" s="3180"/>
      <c r="AL56" s="3180"/>
      <c r="AM56" s="3180"/>
      <c r="AN56" s="3183"/>
      <c r="AO56" s="1586"/>
      <c r="AP56" s="1586"/>
      <c r="AQ56" s="3186"/>
      <c r="AR56" s="3118"/>
      <c r="AS56" s="1229"/>
    </row>
    <row r="57" spans="1:45" s="1165" customFormat="1" ht="48.75" customHeight="1" x14ac:dyDescent="0.2">
      <c r="A57" s="3065"/>
      <c r="B57" s="3151"/>
      <c r="C57" s="3152"/>
      <c r="D57" s="3072"/>
      <c r="E57" s="3073"/>
      <c r="F57" s="3074"/>
      <c r="G57" s="1229"/>
      <c r="H57" s="1554"/>
      <c r="I57" s="1555"/>
      <c r="J57" s="3157"/>
      <c r="K57" s="3081"/>
      <c r="L57" s="3160"/>
      <c r="M57" s="3163"/>
      <c r="N57" s="1565"/>
      <c r="O57" s="3106"/>
      <c r="P57" s="3108"/>
      <c r="Q57" s="3110"/>
      <c r="R57" s="3137"/>
      <c r="S57" s="3121"/>
      <c r="T57" s="3150"/>
      <c r="U57" s="1590" t="s">
        <v>1353</v>
      </c>
      <c r="V57" s="1570">
        <v>3000000</v>
      </c>
      <c r="W57" s="1587">
        <v>20</v>
      </c>
      <c r="X57" s="1589" t="s">
        <v>1350</v>
      </c>
      <c r="Y57" s="3190"/>
      <c r="Z57" s="3193"/>
      <c r="AA57" s="3169"/>
      <c r="AB57" s="3169"/>
      <c r="AC57" s="3169"/>
      <c r="AD57" s="3169"/>
      <c r="AE57" s="3180"/>
      <c r="AF57" s="3180"/>
      <c r="AG57" s="3180"/>
      <c r="AH57" s="3180"/>
      <c r="AI57" s="3180"/>
      <c r="AJ57" s="3180"/>
      <c r="AK57" s="3180"/>
      <c r="AL57" s="3180"/>
      <c r="AM57" s="3180"/>
      <c r="AN57" s="3183"/>
      <c r="AO57" s="1586">
        <v>43480</v>
      </c>
      <c r="AP57" s="1586">
        <v>43600</v>
      </c>
      <c r="AQ57" s="3186"/>
      <c r="AR57" s="3118"/>
      <c r="AS57" s="1229"/>
    </row>
    <row r="58" spans="1:45" s="1165" customFormat="1" ht="41.25" customHeight="1" x14ac:dyDescent="0.2">
      <c r="A58" s="3065"/>
      <c r="B58" s="3151"/>
      <c r="C58" s="3152"/>
      <c r="D58" s="3072"/>
      <c r="E58" s="3073"/>
      <c r="F58" s="3074"/>
      <c r="G58" s="1229"/>
      <c r="H58" s="1554"/>
      <c r="I58" s="1555"/>
      <c r="J58" s="3155">
        <v>220</v>
      </c>
      <c r="K58" s="3080" t="s">
        <v>1354</v>
      </c>
      <c r="L58" s="3174" t="s">
        <v>1355</v>
      </c>
      <c r="M58" s="3161">
        <v>12</v>
      </c>
      <c r="N58" s="1565"/>
      <c r="O58" s="3106"/>
      <c r="P58" s="3108"/>
      <c r="Q58" s="3147">
        <f>SUM(V58:V64)/R51</f>
        <v>0.50123713891657751</v>
      </c>
      <c r="R58" s="3137"/>
      <c r="S58" s="3121"/>
      <c r="T58" s="3121"/>
      <c r="U58" s="3177" t="s">
        <v>1356</v>
      </c>
      <c r="V58" s="1570">
        <v>26290000</v>
      </c>
      <c r="W58" s="1587">
        <v>20</v>
      </c>
      <c r="X58" s="1589" t="s">
        <v>1350</v>
      </c>
      <c r="Y58" s="3190"/>
      <c r="Z58" s="3193"/>
      <c r="AA58" s="3169"/>
      <c r="AB58" s="3169"/>
      <c r="AC58" s="3169"/>
      <c r="AD58" s="3169"/>
      <c r="AE58" s="3181"/>
      <c r="AF58" s="3181"/>
      <c r="AG58" s="3181"/>
      <c r="AH58" s="3181"/>
      <c r="AI58" s="3181"/>
      <c r="AJ58" s="3181"/>
      <c r="AK58" s="3181"/>
      <c r="AL58" s="3181"/>
      <c r="AM58" s="3181"/>
      <c r="AN58" s="3184"/>
      <c r="AO58" s="1586">
        <v>43480</v>
      </c>
      <c r="AP58" s="1586">
        <v>43600</v>
      </c>
      <c r="AQ58" s="3187"/>
      <c r="AR58" s="3118"/>
      <c r="AS58" s="1229"/>
    </row>
    <row r="59" spans="1:45" s="1165" customFormat="1" ht="38.25" customHeight="1" x14ac:dyDescent="0.2">
      <c r="A59" s="3065"/>
      <c r="B59" s="3151"/>
      <c r="C59" s="3152"/>
      <c r="D59" s="3072"/>
      <c r="E59" s="3073"/>
      <c r="F59" s="3074"/>
      <c r="G59" s="1229"/>
      <c r="H59" s="1554"/>
      <c r="I59" s="1555"/>
      <c r="J59" s="3156"/>
      <c r="K59" s="3142"/>
      <c r="L59" s="3175"/>
      <c r="M59" s="3162"/>
      <c r="N59" s="1565"/>
      <c r="O59" s="3106"/>
      <c r="P59" s="3108"/>
      <c r="Q59" s="3148"/>
      <c r="R59" s="3137"/>
      <c r="S59" s="3121"/>
      <c r="T59" s="3121"/>
      <c r="U59" s="3178"/>
      <c r="V59" s="1570">
        <v>130940708</v>
      </c>
      <c r="W59" s="1591" t="s">
        <v>1348</v>
      </c>
      <c r="X59" s="1585" t="s">
        <v>1300</v>
      </c>
      <c r="Y59" s="3190"/>
      <c r="Z59" s="3193"/>
      <c r="AA59" s="3169"/>
      <c r="AB59" s="3169"/>
      <c r="AC59" s="3169"/>
      <c r="AD59" s="3169"/>
      <c r="AE59" s="3181"/>
      <c r="AF59" s="3181"/>
      <c r="AG59" s="3181"/>
      <c r="AH59" s="3181"/>
      <c r="AI59" s="3181"/>
      <c r="AJ59" s="3181"/>
      <c r="AK59" s="3181"/>
      <c r="AL59" s="3181"/>
      <c r="AM59" s="3181"/>
      <c r="AN59" s="3184"/>
      <c r="AO59" s="1586"/>
      <c r="AP59" s="1586"/>
      <c r="AQ59" s="3187"/>
      <c r="AR59" s="1562"/>
      <c r="AS59" s="1229"/>
    </row>
    <row r="60" spans="1:45" s="1165" customFormat="1" ht="55.5" customHeight="1" x14ac:dyDescent="0.2">
      <c r="A60" s="3065"/>
      <c r="B60" s="3151"/>
      <c r="C60" s="3152"/>
      <c r="D60" s="3072"/>
      <c r="E60" s="3073"/>
      <c r="F60" s="3074"/>
      <c r="G60" s="1229"/>
      <c r="H60" s="1554"/>
      <c r="I60" s="1555"/>
      <c r="J60" s="3156"/>
      <c r="K60" s="3142"/>
      <c r="L60" s="3175"/>
      <c r="M60" s="3162"/>
      <c r="N60" s="1565" t="s">
        <v>1357</v>
      </c>
      <c r="O60" s="3106"/>
      <c r="P60" s="3108"/>
      <c r="Q60" s="3148"/>
      <c r="R60" s="3137"/>
      <c r="S60" s="3121"/>
      <c r="T60" s="3121"/>
      <c r="U60" s="1592" t="s">
        <v>1358</v>
      </c>
      <c r="V60" s="1570">
        <v>30812000</v>
      </c>
      <c r="W60" s="1591" t="s">
        <v>1348</v>
      </c>
      <c r="X60" s="1585" t="s">
        <v>1300</v>
      </c>
      <c r="Y60" s="3190"/>
      <c r="Z60" s="3193"/>
      <c r="AA60" s="3169"/>
      <c r="AB60" s="3169"/>
      <c r="AC60" s="3169"/>
      <c r="AD60" s="3169"/>
      <c r="AE60" s="3181"/>
      <c r="AF60" s="3181"/>
      <c r="AG60" s="3181"/>
      <c r="AH60" s="3181"/>
      <c r="AI60" s="3181"/>
      <c r="AJ60" s="3181"/>
      <c r="AK60" s="3181"/>
      <c r="AL60" s="3181"/>
      <c r="AM60" s="3181"/>
      <c r="AN60" s="3184"/>
      <c r="AO60" s="1586"/>
      <c r="AP60" s="1586"/>
      <c r="AQ60" s="3187"/>
      <c r="AR60" s="1562"/>
      <c r="AS60" s="1229"/>
    </row>
    <row r="61" spans="1:45" s="1165" customFormat="1" ht="48" customHeight="1" x14ac:dyDescent="0.2">
      <c r="A61" s="3065"/>
      <c r="B61" s="3151"/>
      <c r="C61" s="3152"/>
      <c r="D61" s="3072"/>
      <c r="E61" s="3073"/>
      <c r="F61" s="3074"/>
      <c r="G61" s="1229"/>
      <c r="H61" s="1554"/>
      <c r="I61" s="1555"/>
      <c r="J61" s="3156"/>
      <c r="K61" s="3142"/>
      <c r="L61" s="3175"/>
      <c r="M61" s="3162"/>
      <c r="N61" s="1593"/>
      <c r="O61" s="3106"/>
      <c r="P61" s="3108"/>
      <c r="Q61" s="3148"/>
      <c r="R61" s="3137"/>
      <c r="S61" s="3121"/>
      <c r="T61" s="3121"/>
      <c r="U61" s="3177" t="s">
        <v>1349</v>
      </c>
      <c r="V61" s="1570">
        <v>26290000</v>
      </c>
      <c r="W61" s="1587">
        <v>20</v>
      </c>
      <c r="X61" s="1589" t="s">
        <v>1350</v>
      </c>
      <c r="Y61" s="3190"/>
      <c r="Z61" s="3193"/>
      <c r="AA61" s="3169"/>
      <c r="AB61" s="3169"/>
      <c r="AC61" s="3169"/>
      <c r="AD61" s="3169"/>
      <c r="AE61" s="3181"/>
      <c r="AF61" s="3181"/>
      <c r="AG61" s="3181"/>
      <c r="AH61" s="3181"/>
      <c r="AI61" s="3181"/>
      <c r="AJ61" s="3181"/>
      <c r="AK61" s="3181"/>
      <c r="AL61" s="3181"/>
      <c r="AM61" s="3181"/>
      <c r="AN61" s="3184"/>
      <c r="AO61" s="1586">
        <v>43480</v>
      </c>
      <c r="AP61" s="1586">
        <v>43600</v>
      </c>
      <c r="AQ61" s="3187"/>
      <c r="AR61" s="1229"/>
      <c r="AS61" s="1229"/>
    </row>
    <row r="62" spans="1:45" s="1165" customFormat="1" ht="46.5" customHeight="1" x14ac:dyDescent="0.2">
      <c r="A62" s="3065"/>
      <c r="B62" s="3151"/>
      <c r="C62" s="3152"/>
      <c r="D62" s="3072"/>
      <c r="E62" s="3073"/>
      <c r="F62" s="3074"/>
      <c r="G62" s="1229"/>
      <c r="H62" s="1554"/>
      <c r="I62" s="1555"/>
      <c r="J62" s="3156"/>
      <c r="K62" s="3142"/>
      <c r="L62" s="3175"/>
      <c r="M62" s="3162"/>
      <c r="N62" s="1593"/>
      <c r="O62" s="3106"/>
      <c r="P62" s="3108"/>
      <c r="Q62" s="3148"/>
      <c r="R62" s="3137"/>
      <c r="S62" s="3121"/>
      <c r="T62" s="3121"/>
      <c r="U62" s="3178"/>
      <c r="V62" s="1570">
        <v>36044666</v>
      </c>
      <c r="W62" s="1591" t="s">
        <v>1348</v>
      </c>
      <c r="X62" s="1585" t="s">
        <v>1359</v>
      </c>
      <c r="Y62" s="3190"/>
      <c r="Z62" s="3193"/>
      <c r="AA62" s="3169"/>
      <c r="AB62" s="3169"/>
      <c r="AC62" s="3169"/>
      <c r="AD62" s="3169"/>
      <c r="AE62" s="3181"/>
      <c r="AF62" s="3181"/>
      <c r="AG62" s="3181"/>
      <c r="AH62" s="3181"/>
      <c r="AI62" s="3181"/>
      <c r="AJ62" s="3181"/>
      <c r="AK62" s="3181"/>
      <c r="AL62" s="3181"/>
      <c r="AM62" s="3181"/>
      <c r="AN62" s="3184"/>
      <c r="AO62" s="1586"/>
      <c r="AP62" s="1586"/>
      <c r="AQ62" s="3187"/>
      <c r="AR62" s="1229"/>
      <c r="AS62" s="1229"/>
    </row>
    <row r="63" spans="1:45" s="1165" customFormat="1" ht="36" customHeight="1" x14ac:dyDescent="0.2">
      <c r="A63" s="3065"/>
      <c r="B63" s="3151"/>
      <c r="C63" s="3152"/>
      <c r="D63" s="3072"/>
      <c r="E63" s="3073"/>
      <c r="F63" s="3074"/>
      <c r="G63" s="1229"/>
      <c r="H63" s="1554"/>
      <c r="I63" s="1555"/>
      <c r="J63" s="3156"/>
      <c r="K63" s="3142"/>
      <c r="L63" s="3175"/>
      <c r="M63" s="3162"/>
      <c r="N63" s="1594"/>
      <c r="O63" s="3106"/>
      <c r="P63" s="3108"/>
      <c r="Q63" s="3148"/>
      <c r="R63" s="3137"/>
      <c r="S63" s="3121"/>
      <c r="T63" s="3121"/>
      <c r="U63" s="3177" t="s">
        <v>1351</v>
      </c>
      <c r="V63" s="1570">
        <v>26290000</v>
      </c>
      <c r="W63" s="1587">
        <v>20</v>
      </c>
      <c r="X63" s="1589" t="s">
        <v>1346</v>
      </c>
      <c r="Y63" s="3190"/>
      <c r="Z63" s="3193"/>
      <c r="AA63" s="3169"/>
      <c r="AB63" s="3169"/>
      <c r="AC63" s="3169"/>
      <c r="AD63" s="3169"/>
      <c r="AE63" s="3181"/>
      <c r="AF63" s="3181"/>
      <c r="AG63" s="3181"/>
      <c r="AH63" s="3181"/>
      <c r="AI63" s="3181"/>
      <c r="AJ63" s="3181"/>
      <c r="AK63" s="3181"/>
      <c r="AL63" s="3181"/>
      <c r="AM63" s="3181"/>
      <c r="AN63" s="3184"/>
      <c r="AO63" s="1586">
        <v>43480</v>
      </c>
      <c r="AP63" s="1586">
        <v>43600</v>
      </c>
      <c r="AQ63" s="3187"/>
      <c r="AR63" s="1229"/>
      <c r="AS63" s="1229"/>
    </row>
    <row r="64" spans="1:45" s="1165" customFormat="1" ht="50.25" customHeight="1" x14ac:dyDescent="0.2">
      <c r="A64" s="3065"/>
      <c r="B64" s="3151"/>
      <c r="C64" s="3152"/>
      <c r="D64" s="3072"/>
      <c r="E64" s="3073"/>
      <c r="F64" s="3074"/>
      <c r="G64" s="1229"/>
      <c r="H64" s="1554"/>
      <c r="I64" s="1555"/>
      <c r="J64" s="3157"/>
      <c r="K64" s="3081"/>
      <c r="L64" s="3176"/>
      <c r="M64" s="3163"/>
      <c r="N64" s="1593"/>
      <c r="O64" s="3106"/>
      <c r="P64" s="3108"/>
      <c r="Q64" s="3149"/>
      <c r="R64" s="3137"/>
      <c r="S64" s="3121"/>
      <c r="T64" s="3121"/>
      <c r="U64" s="3178"/>
      <c r="V64" s="1570">
        <v>83641348</v>
      </c>
      <c r="W64" s="1591" t="s">
        <v>1348</v>
      </c>
      <c r="X64" s="1585" t="s">
        <v>1300</v>
      </c>
      <c r="Y64" s="3190"/>
      <c r="Z64" s="3193"/>
      <c r="AA64" s="3169"/>
      <c r="AB64" s="3169"/>
      <c r="AC64" s="3169"/>
      <c r="AD64" s="3169"/>
      <c r="AE64" s="3181"/>
      <c r="AF64" s="3181"/>
      <c r="AG64" s="3181"/>
      <c r="AH64" s="3181"/>
      <c r="AI64" s="3181"/>
      <c r="AJ64" s="3181"/>
      <c r="AK64" s="3181"/>
      <c r="AL64" s="3181"/>
      <c r="AM64" s="3181"/>
      <c r="AN64" s="3184"/>
      <c r="AO64" s="1586"/>
      <c r="AP64" s="1586"/>
      <c r="AQ64" s="3187"/>
      <c r="AR64" s="1229"/>
      <c r="AS64" s="1229"/>
    </row>
    <row r="65" spans="1:45" s="1165" customFormat="1" ht="82.5" customHeight="1" x14ac:dyDescent="0.2">
      <c r="A65" s="3065"/>
      <c r="B65" s="3151"/>
      <c r="C65" s="3152"/>
      <c r="D65" s="3075"/>
      <c r="E65" s="3076"/>
      <c r="F65" s="3077"/>
      <c r="G65" s="1229"/>
      <c r="H65" s="1573"/>
      <c r="I65" s="1574"/>
      <c r="J65" s="1595">
        <v>222</v>
      </c>
      <c r="K65" s="1596" t="s">
        <v>1360</v>
      </c>
      <c r="L65" s="1596" t="s">
        <v>1361</v>
      </c>
      <c r="M65" s="1597">
        <v>1</v>
      </c>
      <c r="N65" s="1565"/>
      <c r="O65" s="3164"/>
      <c r="P65" s="3108"/>
      <c r="Q65" s="1560">
        <f>SUM(V65)/R51</f>
        <v>1.3911324048285944E-2</v>
      </c>
      <c r="R65" s="3138"/>
      <c r="S65" s="3121"/>
      <c r="T65" s="3121"/>
      <c r="U65" s="1558" t="s">
        <v>1362</v>
      </c>
      <c r="V65" s="1598">
        <v>10000000</v>
      </c>
      <c r="W65" s="1587">
        <v>20</v>
      </c>
      <c r="X65" s="1589" t="s">
        <v>1350</v>
      </c>
      <c r="Y65" s="3191"/>
      <c r="Z65" s="3194"/>
      <c r="AA65" s="3170"/>
      <c r="AB65" s="3170"/>
      <c r="AC65" s="3170"/>
      <c r="AD65" s="3170"/>
      <c r="AE65" s="3182"/>
      <c r="AF65" s="3182"/>
      <c r="AG65" s="3182"/>
      <c r="AH65" s="3182"/>
      <c r="AI65" s="3182"/>
      <c r="AJ65" s="3182"/>
      <c r="AK65" s="3182"/>
      <c r="AL65" s="3182"/>
      <c r="AM65" s="3182"/>
      <c r="AN65" s="3184"/>
      <c r="AO65" s="1586">
        <v>43480</v>
      </c>
      <c r="AP65" s="1586">
        <v>43600</v>
      </c>
      <c r="AQ65" s="3188"/>
      <c r="AR65" s="1229"/>
      <c r="AS65" s="1229"/>
    </row>
    <row r="66" spans="1:45" s="1229" customFormat="1" ht="15" customHeight="1" x14ac:dyDescent="0.2">
      <c r="A66" s="3065"/>
      <c r="B66" s="3151"/>
      <c r="C66" s="3152"/>
      <c r="D66" s="1599">
        <v>24</v>
      </c>
      <c r="E66" s="1600" t="s">
        <v>1363</v>
      </c>
      <c r="F66" s="1600"/>
      <c r="G66" s="1528"/>
      <c r="H66" s="1528"/>
      <c r="I66" s="1528"/>
      <c r="J66" s="1601"/>
      <c r="K66" s="1602"/>
      <c r="L66" s="1603"/>
      <c r="M66" s="1604"/>
      <c r="N66" s="1532"/>
      <c r="O66" s="1529"/>
      <c r="P66" s="1531"/>
      <c r="Q66" s="1605"/>
      <c r="R66" s="1606"/>
      <c r="S66" s="1603"/>
      <c r="T66" s="1602"/>
      <c r="U66" s="1602"/>
      <c r="V66" s="1606"/>
      <c r="W66" s="1607"/>
      <c r="X66" s="1608"/>
      <c r="Y66" s="1534"/>
      <c r="Z66" s="1534"/>
      <c r="AA66" s="1534"/>
      <c r="AB66" s="1534"/>
      <c r="AC66" s="1534"/>
      <c r="AD66" s="1534"/>
      <c r="AE66" s="1534"/>
      <c r="AF66" s="1534"/>
      <c r="AG66" s="1534"/>
      <c r="AH66" s="1534"/>
      <c r="AI66" s="1534"/>
      <c r="AJ66" s="1534"/>
      <c r="AK66" s="1534"/>
      <c r="AL66" s="1536"/>
      <c r="AM66" s="1531"/>
      <c r="AN66" s="1531"/>
      <c r="AO66" s="1531"/>
      <c r="AP66" s="1531"/>
      <c r="AQ66" s="1537"/>
    </row>
    <row r="67" spans="1:45" s="1229" customFormat="1" ht="15" customHeight="1" x14ac:dyDescent="0.2">
      <c r="A67" s="3065"/>
      <c r="B67" s="3151"/>
      <c r="C67" s="3152"/>
      <c r="D67" s="3165"/>
      <c r="E67" s="3165"/>
      <c r="F67" s="3165"/>
      <c r="G67" s="1538">
        <v>78</v>
      </c>
      <c r="H67" s="191" t="s">
        <v>1364</v>
      </c>
      <c r="I67" s="191"/>
      <c r="J67" s="1539"/>
      <c r="K67" s="1540"/>
      <c r="L67" s="1541"/>
      <c r="M67" s="299"/>
      <c r="N67" s="305"/>
      <c r="O67" s="306"/>
      <c r="P67" s="193"/>
      <c r="Q67" s="1609"/>
      <c r="R67" s="1610"/>
      <c r="S67" s="1541"/>
      <c r="T67" s="1540"/>
      <c r="U67" s="1540"/>
      <c r="V67" s="1611"/>
      <c r="W67" s="1543"/>
      <c r="X67" s="1612"/>
      <c r="Y67" s="196"/>
      <c r="Z67" s="196"/>
      <c r="AA67" s="196"/>
      <c r="AB67" s="196"/>
      <c r="AC67" s="196"/>
      <c r="AD67" s="196"/>
      <c r="AE67" s="196"/>
      <c r="AF67" s="196"/>
      <c r="AG67" s="196"/>
      <c r="AH67" s="196"/>
      <c r="AI67" s="196"/>
      <c r="AJ67" s="196"/>
      <c r="AK67" s="196"/>
      <c r="AL67" s="196"/>
      <c r="AM67" s="196"/>
      <c r="AN67" s="196"/>
      <c r="AO67" s="196"/>
      <c r="AP67" s="196"/>
      <c r="AQ67" s="1613"/>
    </row>
    <row r="68" spans="1:45" s="1165" customFormat="1" ht="77.25" customHeight="1" x14ac:dyDescent="0.25">
      <c r="A68" s="3065"/>
      <c r="B68" s="3151"/>
      <c r="C68" s="3152"/>
      <c r="D68" s="3165"/>
      <c r="E68" s="3165"/>
      <c r="F68" s="3165"/>
      <c r="G68" s="1614"/>
      <c r="H68" s="1615"/>
      <c r="I68" s="1616"/>
      <c r="J68" s="3166">
        <v>226</v>
      </c>
      <c r="K68" s="3167" t="s">
        <v>1365</v>
      </c>
      <c r="L68" s="3122" t="s">
        <v>1366</v>
      </c>
      <c r="M68" s="3195">
        <v>12</v>
      </c>
      <c r="N68" s="3104" t="s">
        <v>1367</v>
      </c>
      <c r="O68" s="3106" t="s">
        <v>1368</v>
      </c>
      <c r="P68" s="3108" t="s">
        <v>1369</v>
      </c>
      <c r="Q68" s="3207">
        <f>SUM(V68:V76)/R68</f>
        <v>0.55679287305122493</v>
      </c>
      <c r="R68" s="3136">
        <f>SUM(V68:V90)</f>
        <v>449000000</v>
      </c>
      <c r="S68" s="3121" t="s">
        <v>1370</v>
      </c>
      <c r="T68" s="3150" t="s">
        <v>1371</v>
      </c>
      <c r="U68" s="1590" t="s">
        <v>1372</v>
      </c>
      <c r="V68" s="1598">
        <v>13500000</v>
      </c>
      <c r="W68" s="1617">
        <v>20</v>
      </c>
      <c r="X68" s="1618" t="s">
        <v>1373</v>
      </c>
      <c r="Y68" s="3198">
        <v>1199</v>
      </c>
      <c r="Z68" s="3198">
        <v>1151</v>
      </c>
      <c r="AA68" s="3198">
        <v>715</v>
      </c>
      <c r="AB68" s="3198">
        <v>527</v>
      </c>
      <c r="AC68" s="3198">
        <v>301</v>
      </c>
      <c r="AD68" s="3198">
        <v>807</v>
      </c>
      <c r="AE68" s="3198"/>
      <c r="AF68" s="3198"/>
      <c r="AG68" s="3198"/>
      <c r="AH68" s="3198"/>
      <c r="AI68" s="3198"/>
      <c r="AJ68" s="3198"/>
      <c r="AK68" s="3198">
        <v>2350</v>
      </c>
      <c r="AL68" s="3198"/>
      <c r="AM68" s="3198"/>
      <c r="AN68" s="3201">
        <f>+Y68+Z68</f>
        <v>2350</v>
      </c>
      <c r="AO68" s="1586">
        <v>43480</v>
      </c>
      <c r="AP68" s="1586">
        <v>43646</v>
      </c>
      <c r="AQ68" s="3208" t="s">
        <v>1347</v>
      </c>
      <c r="AR68" s="1229"/>
      <c r="AS68" s="1229"/>
    </row>
    <row r="69" spans="1:45" s="1165" customFormat="1" ht="52.5" customHeight="1" x14ac:dyDescent="0.25">
      <c r="A69" s="3065"/>
      <c r="B69" s="3151"/>
      <c r="C69" s="3152"/>
      <c r="D69" s="3165"/>
      <c r="E69" s="3165"/>
      <c r="F69" s="3165"/>
      <c r="G69" s="1619"/>
      <c r="H69" s="1620"/>
      <c r="I69" s="1621"/>
      <c r="J69" s="3166"/>
      <c r="K69" s="3167"/>
      <c r="L69" s="3122"/>
      <c r="M69" s="3195"/>
      <c r="N69" s="3104"/>
      <c r="O69" s="3106"/>
      <c r="P69" s="3108"/>
      <c r="Q69" s="3207"/>
      <c r="R69" s="3137"/>
      <c r="S69" s="3121"/>
      <c r="T69" s="3150"/>
      <c r="U69" s="1590" t="s">
        <v>1374</v>
      </c>
      <c r="V69" s="1622">
        <v>17500000</v>
      </c>
      <c r="W69" s="1550">
        <v>20</v>
      </c>
      <c r="X69" s="1623" t="s">
        <v>62</v>
      </c>
      <c r="Y69" s="3203"/>
      <c r="Z69" s="3199"/>
      <c r="AA69" s="3199"/>
      <c r="AB69" s="3199"/>
      <c r="AC69" s="3199"/>
      <c r="AD69" s="3199"/>
      <c r="AE69" s="3199"/>
      <c r="AF69" s="3199"/>
      <c r="AG69" s="3199"/>
      <c r="AH69" s="3199"/>
      <c r="AI69" s="3199"/>
      <c r="AJ69" s="3199"/>
      <c r="AK69" s="3199"/>
      <c r="AL69" s="3199"/>
      <c r="AM69" s="3199"/>
      <c r="AN69" s="3202"/>
      <c r="AO69" s="1624">
        <v>43480</v>
      </c>
      <c r="AP69" s="1624">
        <v>43646</v>
      </c>
      <c r="AQ69" s="3117"/>
      <c r="AR69" s="1229"/>
      <c r="AS69" s="1229"/>
    </row>
    <row r="70" spans="1:45" s="1165" customFormat="1" ht="56.25" customHeight="1" x14ac:dyDescent="0.25">
      <c r="A70" s="3065"/>
      <c r="B70" s="3151"/>
      <c r="C70" s="3152"/>
      <c r="D70" s="3165"/>
      <c r="E70" s="3165"/>
      <c r="F70" s="3165"/>
      <c r="G70" s="1619"/>
      <c r="H70" s="1620"/>
      <c r="I70" s="1621"/>
      <c r="J70" s="3166"/>
      <c r="K70" s="3167"/>
      <c r="L70" s="3122"/>
      <c r="M70" s="3195"/>
      <c r="N70" s="3104"/>
      <c r="O70" s="3106"/>
      <c r="P70" s="3108"/>
      <c r="Q70" s="3207"/>
      <c r="R70" s="3137"/>
      <c r="S70" s="3121"/>
      <c r="T70" s="3150"/>
      <c r="U70" s="1590" t="s">
        <v>1375</v>
      </c>
      <c r="V70" s="1622">
        <v>43000000</v>
      </c>
      <c r="W70" s="1550">
        <v>20</v>
      </c>
      <c r="X70" s="1623" t="s">
        <v>62</v>
      </c>
      <c r="Y70" s="3203"/>
      <c r="Z70" s="3199"/>
      <c r="AA70" s="3199"/>
      <c r="AB70" s="3199"/>
      <c r="AC70" s="3199"/>
      <c r="AD70" s="3199"/>
      <c r="AE70" s="3199"/>
      <c r="AF70" s="3199"/>
      <c r="AG70" s="3199"/>
      <c r="AH70" s="3199"/>
      <c r="AI70" s="3199"/>
      <c r="AJ70" s="3199"/>
      <c r="AK70" s="3199"/>
      <c r="AL70" s="3199"/>
      <c r="AM70" s="3199"/>
      <c r="AN70" s="3202"/>
      <c r="AO70" s="1624">
        <v>43480</v>
      </c>
      <c r="AP70" s="1624">
        <v>43646</v>
      </c>
      <c r="AQ70" s="3117"/>
      <c r="AR70" s="3118"/>
      <c r="AS70" s="1229"/>
    </row>
    <row r="71" spans="1:45" s="1165" customFormat="1" ht="81.75" customHeight="1" x14ac:dyDescent="0.25">
      <c r="A71" s="3065"/>
      <c r="B71" s="3151"/>
      <c r="C71" s="3152"/>
      <c r="D71" s="3165"/>
      <c r="E71" s="3165"/>
      <c r="F71" s="3165"/>
      <c r="G71" s="1619"/>
      <c r="H71" s="1620"/>
      <c r="I71" s="1621"/>
      <c r="J71" s="3166"/>
      <c r="K71" s="3167"/>
      <c r="L71" s="3122"/>
      <c r="M71" s="3195"/>
      <c r="N71" s="3104"/>
      <c r="O71" s="3106"/>
      <c r="P71" s="3108"/>
      <c r="Q71" s="3207"/>
      <c r="R71" s="3137"/>
      <c r="S71" s="3121"/>
      <c r="T71" s="3150"/>
      <c r="U71" s="1590" t="s">
        <v>1376</v>
      </c>
      <c r="V71" s="1622">
        <v>9250000</v>
      </c>
      <c r="W71" s="1550">
        <v>20</v>
      </c>
      <c r="X71" s="1623" t="s">
        <v>62</v>
      </c>
      <c r="Y71" s="3203"/>
      <c r="Z71" s="3199"/>
      <c r="AA71" s="3199"/>
      <c r="AB71" s="3199"/>
      <c r="AC71" s="3199"/>
      <c r="AD71" s="3199"/>
      <c r="AE71" s="3199"/>
      <c r="AF71" s="3199"/>
      <c r="AG71" s="3199"/>
      <c r="AH71" s="3199"/>
      <c r="AI71" s="3199"/>
      <c r="AJ71" s="3199"/>
      <c r="AK71" s="3199"/>
      <c r="AL71" s="3199"/>
      <c r="AM71" s="3199"/>
      <c r="AN71" s="3202"/>
      <c r="AO71" s="1624">
        <v>43480</v>
      </c>
      <c r="AP71" s="1624">
        <v>43646</v>
      </c>
      <c r="AQ71" s="3117"/>
      <c r="AR71" s="3118"/>
      <c r="AS71" s="1229"/>
    </row>
    <row r="72" spans="1:45" s="1165" customFormat="1" ht="62.25" customHeight="1" x14ac:dyDescent="0.25">
      <c r="A72" s="3065"/>
      <c r="B72" s="3151"/>
      <c r="C72" s="3152"/>
      <c r="D72" s="3165"/>
      <c r="E72" s="3165"/>
      <c r="F72" s="3165"/>
      <c r="G72" s="1619"/>
      <c r="H72" s="1620"/>
      <c r="I72" s="1621"/>
      <c r="J72" s="3166"/>
      <c r="K72" s="3167"/>
      <c r="L72" s="3122"/>
      <c r="M72" s="3195"/>
      <c r="N72" s="3104"/>
      <c r="O72" s="3106"/>
      <c r="P72" s="3108"/>
      <c r="Q72" s="3207"/>
      <c r="R72" s="3137"/>
      <c r="S72" s="3121"/>
      <c r="T72" s="3150"/>
      <c r="U72" s="1590" t="s">
        <v>1377</v>
      </c>
      <c r="V72" s="1622">
        <v>10000000</v>
      </c>
      <c r="W72" s="1550">
        <v>20</v>
      </c>
      <c r="X72" s="1623" t="s">
        <v>62</v>
      </c>
      <c r="Y72" s="3203"/>
      <c r="Z72" s="3199"/>
      <c r="AA72" s="3199"/>
      <c r="AB72" s="3199"/>
      <c r="AC72" s="3199"/>
      <c r="AD72" s="3199"/>
      <c r="AE72" s="3199"/>
      <c r="AF72" s="3199"/>
      <c r="AG72" s="3199"/>
      <c r="AH72" s="3199"/>
      <c r="AI72" s="3199"/>
      <c r="AJ72" s="3199"/>
      <c r="AK72" s="3199"/>
      <c r="AL72" s="3199"/>
      <c r="AM72" s="3199"/>
      <c r="AN72" s="3202"/>
      <c r="AO72" s="1624">
        <v>43480</v>
      </c>
      <c r="AP72" s="1624">
        <v>43814</v>
      </c>
      <c r="AQ72" s="3117"/>
      <c r="AR72" s="3118"/>
      <c r="AS72" s="1229"/>
    </row>
    <row r="73" spans="1:45" s="1165" customFormat="1" ht="60" customHeight="1" x14ac:dyDescent="0.25">
      <c r="A73" s="3065"/>
      <c r="B73" s="3151"/>
      <c r="C73" s="3152"/>
      <c r="D73" s="3165"/>
      <c r="E73" s="3165"/>
      <c r="F73" s="3165"/>
      <c r="G73" s="1619"/>
      <c r="H73" s="1620"/>
      <c r="I73" s="1621"/>
      <c r="J73" s="3166"/>
      <c r="K73" s="3167"/>
      <c r="L73" s="3122"/>
      <c r="M73" s="3195"/>
      <c r="N73" s="3104"/>
      <c r="O73" s="3106"/>
      <c r="P73" s="3108"/>
      <c r="Q73" s="3207"/>
      <c r="R73" s="3137"/>
      <c r="S73" s="3121"/>
      <c r="T73" s="3150"/>
      <c r="U73" s="1590" t="s">
        <v>1378</v>
      </c>
      <c r="V73" s="1622">
        <v>6250000</v>
      </c>
      <c r="W73" s="1550">
        <v>20</v>
      </c>
      <c r="X73" s="1623" t="s">
        <v>62</v>
      </c>
      <c r="Y73" s="3203"/>
      <c r="Z73" s="3199"/>
      <c r="AA73" s="3199"/>
      <c r="AB73" s="3199"/>
      <c r="AC73" s="3199"/>
      <c r="AD73" s="3199"/>
      <c r="AE73" s="3199"/>
      <c r="AF73" s="3199"/>
      <c r="AG73" s="3199"/>
      <c r="AH73" s="3199"/>
      <c r="AI73" s="3199"/>
      <c r="AJ73" s="3199"/>
      <c r="AK73" s="3199"/>
      <c r="AL73" s="3199"/>
      <c r="AM73" s="3199"/>
      <c r="AN73" s="3202"/>
      <c r="AO73" s="1624">
        <v>43480</v>
      </c>
      <c r="AP73" s="1624">
        <v>43646</v>
      </c>
      <c r="AQ73" s="3117"/>
      <c r="AR73" s="1229"/>
      <c r="AS73" s="1229"/>
    </row>
    <row r="74" spans="1:45" s="1165" customFormat="1" ht="26.25" customHeight="1" x14ac:dyDescent="0.25">
      <c r="A74" s="3065"/>
      <c r="B74" s="3151"/>
      <c r="C74" s="3152"/>
      <c r="D74" s="3165"/>
      <c r="E74" s="3165"/>
      <c r="F74" s="3165"/>
      <c r="G74" s="1619"/>
      <c r="H74" s="1620"/>
      <c r="I74" s="1621"/>
      <c r="J74" s="3166"/>
      <c r="K74" s="3167"/>
      <c r="L74" s="3122"/>
      <c r="M74" s="3195"/>
      <c r="N74" s="3104"/>
      <c r="O74" s="3106"/>
      <c r="P74" s="3108"/>
      <c r="Q74" s="3207"/>
      <c r="R74" s="3137"/>
      <c r="S74" s="3121"/>
      <c r="T74" s="3150"/>
      <c r="U74" s="3172" t="s">
        <v>1379</v>
      </c>
      <c r="V74" s="1622">
        <v>85500000</v>
      </c>
      <c r="W74" s="1550">
        <v>20</v>
      </c>
      <c r="X74" s="1623" t="s">
        <v>62</v>
      </c>
      <c r="Y74" s="3203"/>
      <c r="Z74" s="3199"/>
      <c r="AA74" s="3199"/>
      <c r="AB74" s="3199"/>
      <c r="AC74" s="3199"/>
      <c r="AD74" s="3199"/>
      <c r="AE74" s="3199"/>
      <c r="AF74" s="3199"/>
      <c r="AG74" s="3199"/>
      <c r="AH74" s="3199"/>
      <c r="AI74" s="3199"/>
      <c r="AJ74" s="3199"/>
      <c r="AK74" s="3199"/>
      <c r="AL74" s="3199"/>
      <c r="AM74" s="3199"/>
      <c r="AN74" s="3202"/>
      <c r="AO74" s="1586">
        <v>43597</v>
      </c>
      <c r="AP74" s="1586">
        <v>43814</v>
      </c>
      <c r="AQ74" s="3117"/>
      <c r="AR74" s="1229"/>
      <c r="AS74" s="1229"/>
    </row>
    <row r="75" spans="1:45" s="1165" customFormat="1" ht="26.25" customHeight="1" x14ac:dyDescent="0.25">
      <c r="A75" s="3065"/>
      <c r="B75" s="3151"/>
      <c r="C75" s="3152"/>
      <c r="D75" s="3165"/>
      <c r="E75" s="3165"/>
      <c r="F75" s="3165"/>
      <c r="G75" s="1619"/>
      <c r="H75" s="1620"/>
      <c r="I75" s="1621"/>
      <c r="J75" s="3166"/>
      <c r="K75" s="3167"/>
      <c r="L75" s="3122"/>
      <c r="M75" s="3195"/>
      <c r="N75" s="3104"/>
      <c r="O75" s="3106"/>
      <c r="P75" s="3108"/>
      <c r="Q75" s="3207"/>
      <c r="R75" s="3137"/>
      <c r="S75" s="3121"/>
      <c r="T75" s="3150"/>
      <c r="U75" s="3173"/>
      <c r="V75" s="1622">
        <v>50000000</v>
      </c>
      <c r="W75" s="1550">
        <v>88</v>
      </c>
      <c r="X75" s="1623" t="s">
        <v>1380</v>
      </c>
      <c r="Y75" s="3203"/>
      <c r="Z75" s="3199"/>
      <c r="AA75" s="3199"/>
      <c r="AB75" s="3199"/>
      <c r="AC75" s="3199"/>
      <c r="AD75" s="3199"/>
      <c r="AE75" s="3199"/>
      <c r="AF75" s="3199"/>
      <c r="AG75" s="3199"/>
      <c r="AH75" s="3199"/>
      <c r="AI75" s="3199"/>
      <c r="AJ75" s="3199"/>
      <c r="AK75" s="3199"/>
      <c r="AL75" s="3199"/>
      <c r="AM75" s="3199"/>
      <c r="AN75" s="3202"/>
      <c r="AO75" s="1586"/>
      <c r="AP75" s="1586"/>
      <c r="AQ75" s="3117"/>
      <c r="AR75" s="1229"/>
      <c r="AS75" s="1229"/>
    </row>
    <row r="76" spans="1:45" s="1165" customFormat="1" ht="33" customHeight="1" x14ac:dyDescent="0.25">
      <c r="A76" s="3065"/>
      <c r="B76" s="3151"/>
      <c r="C76" s="3152"/>
      <c r="D76" s="3165"/>
      <c r="E76" s="3165"/>
      <c r="F76" s="3165"/>
      <c r="G76" s="1619"/>
      <c r="H76" s="1620"/>
      <c r="I76" s="1621"/>
      <c r="J76" s="3166"/>
      <c r="K76" s="3167"/>
      <c r="L76" s="3122"/>
      <c r="M76" s="3195"/>
      <c r="N76" s="3104"/>
      <c r="O76" s="3106"/>
      <c r="P76" s="3108"/>
      <c r="Q76" s="3207"/>
      <c r="R76" s="3137"/>
      <c r="S76" s="3121"/>
      <c r="T76" s="3150"/>
      <c r="U76" s="1590" t="s">
        <v>1381</v>
      </c>
      <c r="V76" s="1622">
        <v>15000000</v>
      </c>
      <c r="W76" s="1550">
        <v>20</v>
      </c>
      <c r="X76" s="1623" t="s">
        <v>62</v>
      </c>
      <c r="Y76" s="3203"/>
      <c r="Z76" s="3199"/>
      <c r="AA76" s="3199"/>
      <c r="AB76" s="3199"/>
      <c r="AC76" s="3199"/>
      <c r="AD76" s="3199"/>
      <c r="AE76" s="3199"/>
      <c r="AF76" s="3199"/>
      <c r="AG76" s="3199"/>
      <c r="AH76" s="3199"/>
      <c r="AI76" s="3199"/>
      <c r="AJ76" s="3199"/>
      <c r="AK76" s="3199"/>
      <c r="AL76" s="3199"/>
      <c r="AM76" s="3199"/>
      <c r="AN76" s="3202"/>
      <c r="AO76" s="1586">
        <v>43536</v>
      </c>
      <c r="AP76" s="1586">
        <v>43756</v>
      </c>
      <c r="AQ76" s="3117"/>
      <c r="AR76" s="1229"/>
      <c r="AS76" s="1229"/>
    </row>
    <row r="77" spans="1:45" s="1165" customFormat="1" ht="53.25" customHeight="1" x14ac:dyDescent="0.25">
      <c r="A77" s="3065"/>
      <c r="B77" s="3151"/>
      <c r="C77" s="3152"/>
      <c r="D77" s="3165"/>
      <c r="E77" s="3165"/>
      <c r="F77" s="3165"/>
      <c r="G77" s="1619"/>
      <c r="H77" s="1620"/>
      <c r="I77" s="1621"/>
      <c r="J77" s="3120">
        <v>227</v>
      </c>
      <c r="K77" s="3121" t="s">
        <v>1382</v>
      </c>
      <c r="L77" s="3122" t="s">
        <v>1383</v>
      </c>
      <c r="M77" s="3195">
        <v>12</v>
      </c>
      <c r="N77" s="3104"/>
      <c r="O77" s="3106"/>
      <c r="P77" s="3108"/>
      <c r="Q77" s="3196">
        <f>SUM(V77:V78)/R68</f>
        <v>8.9086859688195991E-2</v>
      </c>
      <c r="R77" s="3137"/>
      <c r="S77" s="3121"/>
      <c r="T77" s="3150"/>
      <c r="U77" s="1590" t="s">
        <v>1384</v>
      </c>
      <c r="V77" s="1625">
        <v>20000000</v>
      </c>
      <c r="W77" s="1550">
        <v>20</v>
      </c>
      <c r="X77" s="1623" t="s">
        <v>62</v>
      </c>
      <c r="Y77" s="3203"/>
      <c r="Z77" s="3199"/>
      <c r="AA77" s="3199"/>
      <c r="AB77" s="3199"/>
      <c r="AC77" s="3199"/>
      <c r="AD77" s="3199"/>
      <c r="AE77" s="3199"/>
      <c r="AF77" s="3199"/>
      <c r="AG77" s="3199"/>
      <c r="AH77" s="3199"/>
      <c r="AI77" s="3199"/>
      <c r="AJ77" s="3199"/>
      <c r="AK77" s="3199"/>
      <c r="AL77" s="3199"/>
      <c r="AM77" s="3199"/>
      <c r="AN77" s="3202"/>
      <c r="AO77" s="1626">
        <v>43600</v>
      </c>
      <c r="AP77" s="1626">
        <v>43819</v>
      </c>
      <c r="AQ77" s="3117"/>
      <c r="AR77" s="1229"/>
      <c r="AS77" s="1229"/>
    </row>
    <row r="78" spans="1:45" s="1165" customFormat="1" ht="42.75" customHeight="1" x14ac:dyDescent="0.25">
      <c r="A78" s="3065"/>
      <c r="B78" s="3151"/>
      <c r="C78" s="3152"/>
      <c r="D78" s="3165"/>
      <c r="E78" s="3165"/>
      <c r="F78" s="3165"/>
      <c r="G78" s="1619"/>
      <c r="H78" s="1620"/>
      <c r="I78" s="1621"/>
      <c r="J78" s="3120"/>
      <c r="K78" s="3121"/>
      <c r="L78" s="3122"/>
      <c r="M78" s="3195"/>
      <c r="N78" s="3104"/>
      <c r="O78" s="3106"/>
      <c r="P78" s="3108"/>
      <c r="Q78" s="3196"/>
      <c r="R78" s="3137"/>
      <c r="S78" s="3121"/>
      <c r="T78" s="3150"/>
      <c r="U78" s="1590" t="s">
        <v>1385</v>
      </c>
      <c r="V78" s="1625">
        <v>20000000</v>
      </c>
      <c r="W78" s="1550">
        <v>20</v>
      </c>
      <c r="X78" s="1623" t="s">
        <v>62</v>
      </c>
      <c r="Y78" s="3203"/>
      <c r="Z78" s="3199"/>
      <c r="AA78" s="3199"/>
      <c r="AB78" s="3199"/>
      <c r="AC78" s="3199"/>
      <c r="AD78" s="3199"/>
      <c r="AE78" s="3199"/>
      <c r="AF78" s="3199"/>
      <c r="AG78" s="3199"/>
      <c r="AH78" s="3199"/>
      <c r="AI78" s="3199"/>
      <c r="AJ78" s="3199"/>
      <c r="AK78" s="3199"/>
      <c r="AL78" s="3199"/>
      <c r="AM78" s="3199"/>
      <c r="AN78" s="3202"/>
      <c r="AO78" s="1626">
        <v>43539</v>
      </c>
      <c r="AP78" s="1626">
        <v>43819</v>
      </c>
      <c r="AQ78" s="3117"/>
      <c r="AR78" s="1229"/>
      <c r="AS78" s="1229"/>
    </row>
    <row r="79" spans="1:45" s="1165" customFormat="1" ht="43.5" customHeight="1" x14ac:dyDescent="0.25">
      <c r="A79" s="3065"/>
      <c r="B79" s="3151"/>
      <c r="C79" s="3152"/>
      <c r="D79" s="3165"/>
      <c r="E79" s="3165"/>
      <c r="F79" s="3165"/>
      <c r="G79" s="1619"/>
      <c r="H79" s="1620"/>
      <c r="I79" s="1621"/>
      <c r="J79" s="3120">
        <v>228</v>
      </c>
      <c r="K79" s="3122" t="s">
        <v>1386</v>
      </c>
      <c r="L79" s="3122" t="s">
        <v>1387</v>
      </c>
      <c r="M79" s="3195">
        <v>2</v>
      </c>
      <c r="N79" s="3104"/>
      <c r="O79" s="3106"/>
      <c r="P79" s="3108"/>
      <c r="Q79" s="3196">
        <f>SUM(V79:V84)/R68</f>
        <v>8.9086859688195991E-2</v>
      </c>
      <c r="R79" s="3137"/>
      <c r="S79" s="3121"/>
      <c r="T79" s="3150"/>
      <c r="U79" s="1590" t="s">
        <v>1388</v>
      </c>
      <c r="V79" s="1625">
        <v>7400000</v>
      </c>
      <c r="W79" s="1550">
        <v>20</v>
      </c>
      <c r="X79" s="1623" t="s">
        <v>62</v>
      </c>
      <c r="Y79" s="3203"/>
      <c r="Z79" s="3199"/>
      <c r="AA79" s="3199"/>
      <c r="AB79" s="3199"/>
      <c r="AC79" s="3199"/>
      <c r="AD79" s="3199"/>
      <c r="AE79" s="3199"/>
      <c r="AF79" s="3199"/>
      <c r="AG79" s="3199"/>
      <c r="AH79" s="3199"/>
      <c r="AI79" s="3199"/>
      <c r="AJ79" s="3199"/>
      <c r="AK79" s="3199"/>
      <c r="AL79" s="3199"/>
      <c r="AM79" s="3199"/>
      <c r="AN79" s="3202"/>
      <c r="AO79" s="1626">
        <v>43480</v>
      </c>
      <c r="AP79" s="1626">
        <v>43819</v>
      </c>
      <c r="AQ79" s="3117"/>
      <c r="AR79" s="1229"/>
      <c r="AS79" s="1229"/>
    </row>
    <row r="80" spans="1:45" s="1165" customFormat="1" ht="52.5" customHeight="1" x14ac:dyDescent="0.25">
      <c r="A80" s="3065"/>
      <c r="B80" s="3151"/>
      <c r="C80" s="3152"/>
      <c r="D80" s="3165"/>
      <c r="E80" s="3165"/>
      <c r="F80" s="3165"/>
      <c r="G80" s="1619"/>
      <c r="H80" s="1620"/>
      <c r="I80" s="1621"/>
      <c r="J80" s="3120"/>
      <c r="K80" s="3122"/>
      <c r="L80" s="3122"/>
      <c r="M80" s="3195"/>
      <c r="N80" s="3104"/>
      <c r="O80" s="3106"/>
      <c r="P80" s="3108"/>
      <c r="Q80" s="3196"/>
      <c r="R80" s="3137"/>
      <c r="S80" s="3121"/>
      <c r="T80" s="3150"/>
      <c r="U80" s="1590" t="s">
        <v>1389</v>
      </c>
      <c r="V80" s="1625">
        <v>18700000</v>
      </c>
      <c r="W80" s="1550">
        <v>20</v>
      </c>
      <c r="X80" s="1623" t="s">
        <v>62</v>
      </c>
      <c r="Y80" s="3203"/>
      <c r="Z80" s="3199"/>
      <c r="AA80" s="3199"/>
      <c r="AB80" s="3199"/>
      <c r="AC80" s="3199"/>
      <c r="AD80" s="3199"/>
      <c r="AE80" s="3199"/>
      <c r="AF80" s="3199"/>
      <c r="AG80" s="3199"/>
      <c r="AH80" s="3199"/>
      <c r="AI80" s="3199"/>
      <c r="AJ80" s="3199"/>
      <c r="AK80" s="3199"/>
      <c r="AL80" s="3199"/>
      <c r="AM80" s="3199"/>
      <c r="AN80" s="3202"/>
      <c r="AO80" s="1626">
        <v>43511</v>
      </c>
      <c r="AP80" s="1626">
        <v>43819</v>
      </c>
      <c r="AQ80" s="3117"/>
      <c r="AR80" s="1229"/>
      <c r="AS80" s="1229"/>
    </row>
    <row r="81" spans="1:45" s="1165" customFormat="1" ht="46.5" customHeight="1" x14ac:dyDescent="0.25">
      <c r="A81" s="3065"/>
      <c r="B81" s="3151"/>
      <c r="C81" s="3152"/>
      <c r="D81" s="3165"/>
      <c r="E81" s="3165"/>
      <c r="F81" s="3165"/>
      <c r="G81" s="1619"/>
      <c r="H81" s="1620"/>
      <c r="I81" s="1621"/>
      <c r="J81" s="3120"/>
      <c r="K81" s="3122"/>
      <c r="L81" s="3122"/>
      <c r="M81" s="3195"/>
      <c r="N81" s="3104"/>
      <c r="O81" s="3106"/>
      <c r="P81" s="3108"/>
      <c r="Q81" s="3196"/>
      <c r="R81" s="3137"/>
      <c r="S81" s="3121"/>
      <c r="T81" s="3150"/>
      <c r="U81" s="1590" t="s">
        <v>1390</v>
      </c>
      <c r="V81" s="1625">
        <v>6000000</v>
      </c>
      <c r="W81" s="1550">
        <v>20</v>
      </c>
      <c r="X81" s="1623" t="s">
        <v>62</v>
      </c>
      <c r="Y81" s="3203"/>
      <c r="Z81" s="3199"/>
      <c r="AA81" s="3199"/>
      <c r="AB81" s="3199"/>
      <c r="AC81" s="3199"/>
      <c r="AD81" s="3199"/>
      <c r="AE81" s="3199"/>
      <c r="AF81" s="3199"/>
      <c r="AG81" s="3199"/>
      <c r="AH81" s="3199"/>
      <c r="AI81" s="3199"/>
      <c r="AJ81" s="3199"/>
      <c r="AK81" s="3199"/>
      <c r="AL81" s="3199"/>
      <c r="AM81" s="3199"/>
      <c r="AN81" s="3202"/>
      <c r="AO81" s="1626">
        <v>43480</v>
      </c>
      <c r="AP81" s="1626">
        <v>43819</v>
      </c>
      <c r="AQ81" s="3117"/>
      <c r="AR81" s="1229"/>
      <c r="AS81" s="1229"/>
    </row>
    <row r="82" spans="1:45" s="1165" customFormat="1" ht="58.5" customHeight="1" x14ac:dyDescent="0.25">
      <c r="A82" s="3065"/>
      <c r="B82" s="3151"/>
      <c r="C82" s="3152"/>
      <c r="D82" s="3165"/>
      <c r="E82" s="3165"/>
      <c r="F82" s="3165"/>
      <c r="G82" s="1619"/>
      <c r="H82" s="1620"/>
      <c r="I82" s="1621"/>
      <c r="J82" s="3120"/>
      <c r="K82" s="3122"/>
      <c r="L82" s="3122"/>
      <c r="M82" s="3195"/>
      <c r="N82" s="3104"/>
      <c r="O82" s="3106"/>
      <c r="P82" s="3108"/>
      <c r="Q82" s="3196"/>
      <c r="R82" s="3137"/>
      <c r="S82" s="3121"/>
      <c r="T82" s="3150"/>
      <c r="U82" s="1590" t="s">
        <v>1391</v>
      </c>
      <c r="V82" s="1625">
        <v>2500000</v>
      </c>
      <c r="W82" s="1550">
        <v>20</v>
      </c>
      <c r="X82" s="1623" t="s">
        <v>62</v>
      </c>
      <c r="Y82" s="3203"/>
      <c r="Z82" s="3199"/>
      <c r="AA82" s="3199"/>
      <c r="AB82" s="3199"/>
      <c r="AC82" s="3199"/>
      <c r="AD82" s="3199"/>
      <c r="AE82" s="3199"/>
      <c r="AF82" s="3199"/>
      <c r="AG82" s="3199"/>
      <c r="AH82" s="3199"/>
      <c r="AI82" s="3199"/>
      <c r="AJ82" s="3199"/>
      <c r="AK82" s="3199"/>
      <c r="AL82" s="3199"/>
      <c r="AM82" s="3199"/>
      <c r="AN82" s="3202"/>
      <c r="AO82" s="1626">
        <v>43539</v>
      </c>
      <c r="AP82" s="1626">
        <v>43819</v>
      </c>
      <c r="AQ82" s="3117"/>
      <c r="AR82" s="1229"/>
      <c r="AS82" s="1229"/>
    </row>
    <row r="83" spans="1:45" s="1165" customFormat="1" ht="66.75" customHeight="1" x14ac:dyDescent="0.25">
      <c r="A83" s="3065"/>
      <c r="B83" s="3151"/>
      <c r="C83" s="3152"/>
      <c r="D83" s="3165"/>
      <c r="E83" s="3165"/>
      <c r="F83" s="3165"/>
      <c r="G83" s="1619"/>
      <c r="H83" s="1620"/>
      <c r="I83" s="1621"/>
      <c r="J83" s="3197"/>
      <c r="K83" s="3117"/>
      <c r="L83" s="3117"/>
      <c r="M83" s="3205"/>
      <c r="N83" s="3104"/>
      <c r="O83" s="3106"/>
      <c r="P83" s="3108"/>
      <c r="Q83" s="3206"/>
      <c r="R83" s="3137"/>
      <c r="S83" s="3121"/>
      <c r="T83" s="3150"/>
      <c r="U83" s="1590" t="s">
        <v>1392</v>
      </c>
      <c r="V83" s="1625">
        <v>2000000</v>
      </c>
      <c r="W83" s="1550">
        <v>20</v>
      </c>
      <c r="X83" s="1623" t="s">
        <v>62</v>
      </c>
      <c r="Y83" s="3203"/>
      <c r="Z83" s="3199"/>
      <c r="AA83" s="3199"/>
      <c r="AB83" s="3199"/>
      <c r="AC83" s="3199"/>
      <c r="AD83" s="3199"/>
      <c r="AE83" s="3199"/>
      <c r="AF83" s="3199"/>
      <c r="AG83" s="3199"/>
      <c r="AH83" s="3199"/>
      <c r="AI83" s="3199"/>
      <c r="AJ83" s="3199"/>
      <c r="AK83" s="3199"/>
      <c r="AL83" s="3199"/>
      <c r="AM83" s="3199"/>
      <c r="AN83" s="3202"/>
      <c r="AO83" s="1626">
        <v>43539</v>
      </c>
      <c r="AP83" s="1626">
        <v>43819</v>
      </c>
      <c r="AQ83" s="3117"/>
      <c r="AR83" s="1229"/>
      <c r="AS83" s="1229"/>
    </row>
    <row r="84" spans="1:45" s="1165" customFormat="1" ht="37.5" customHeight="1" x14ac:dyDescent="0.25">
      <c r="A84" s="3065"/>
      <c r="B84" s="3151"/>
      <c r="C84" s="3152"/>
      <c r="D84" s="3165"/>
      <c r="E84" s="3165"/>
      <c r="F84" s="3165"/>
      <c r="G84" s="1619"/>
      <c r="H84" s="1620"/>
      <c r="I84" s="1621"/>
      <c r="J84" s="3197"/>
      <c r="K84" s="3117"/>
      <c r="L84" s="3117"/>
      <c r="M84" s="3205"/>
      <c r="N84" s="3104"/>
      <c r="O84" s="3106"/>
      <c r="P84" s="3108"/>
      <c r="Q84" s="3206"/>
      <c r="R84" s="3137"/>
      <c r="S84" s="3121"/>
      <c r="T84" s="3150"/>
      <c r="U84" s="266" t="s">
        <v>1381</v>
      </c>
      <c r="V84" s="1625">
        <v>3400000</v>
      </c>
      <c r="W84" s="1550">
        <v>20</v>
      </c>
      <c r="X84" s="1623" t="s">
        <v>62</v>
      </c>
      <c r="Y84" s="3203"/>
      <c r="Z84" s="3199"/>
      <c r="AA84" s="3199"/>
      <c r="AB84" s="3199"/>
      <c r="AC84" s="3199"/>
      <c r="AD84" s="3199"/>
      <c r="AE84" s="3199"/>
      <c r="AF84" s="3199"/>
      <c r="AG84" s="3199"/>
      <c r="AH84" s="3199"/>
      <c r="AI84" s="3199"/>
      <c r="AJ84" s="3199"/>
      <c r="AK84" s="3199"/>
      <c r="AL84" s="3199"/>
      <c r="AM84" s="3199"/>
      <c r="AN84" s="3202"/>
      <c r="AO84" s="1626">
        <v>43539</v>
      </c>
      <c r="AP84" s="1626">
        <v>43819</v>
      </c>
      <c r="AQ84" s="3117"/>
      <c r="AR84" s="1229"/>
      <c r="AS84" s="1229"/>
    </row>
    <row r="85" spans="1:45" s="1165" customFormat="1" ht="52.5" customHeight="1" x14ac:dyDescent="0.25">
      <c r="A85" s="3065"/>
      <c r="B85" s="3151"/>
      <c r="C85" s="3152"/>
      <c r="D85" s="3165"/>
      <c r="E85" s="3165"/>
      <c r="F85" s="3165"/>
      <c r="G85" s="1619"/>
      <c r="H85" s="1620"/>
      <c r="I85" s="1621"/>
      <c r="J85" s="3120">
        <v>229</v>
      </c>
      <c r="K85" s="3121" t="s">
        <v>1393</v>
      </c>
      <c r="L85" s="3122" t="s">
        <v>1394</v>
      </c>
      <c r="M85" s="3195">
        <v>13</v>
      </c>
      <c r="N85" s="3104"/>
      <c r="O85" s="3106"/>
      <c r="P85" s="3108"/>
      <c r="Q85" s="3207">
        <f>SUM(V85:V86)/R68</f>
        <v>0.1447661469933185</v>
      </c>
      <c r="R85" s="3137"/>
      <c r="S85" s="3121"/>
      <c r="T85" s="3150"/>
      <c r="U85" s="1590" t="s">
        <v>1395</v>
      </c>
      <c r="V85" s="1625">
        <v>15400000</v>
      </c>
      <c r="W85" s="1550">
        <v>20</v>
      </c>
      <c r="X85" s="1623" t="s">
        <v>62</v>
      </c>
      <c r="Y85" s="3203"/>
      <c r="Z85" s="3199"/>
      <c r="AA85" s="3199"/>
      <c r="AB85" s="3199"/>
      <c r="AC85" s="3199"/>
      <c r="AD85" s="3199"/>
      <c r="AE85" s="3199"/>
      <c r="AF85" s="3199"/>
      <c r="AG85" s="3199"/>
      <c r="AH85" s="3199"/>
      <c r="AI85" s="3199"/>
      <c r="AJ85" s="3199"/>
      <c r="AK85" s="3199"/>
      <c r="AL85" s="3199"/>
      <c r="AM85" s="3199"/>
      <c r="AN85" s="3202"/>
      <c r="AO85" s="1626">
        <v>43475</v>
      </c>
      <c r="AP85" s="1626">
        <v>43646</v>
      </c>
      <c r="AQ85" s="3117"/>
      <c r="AR85" s="1229"/>
      <c r="AS85" s="1229"/>
    </row>
    <row r="86" spans="1:45" s="1165" customFormat="1" ht="69.75" customHeight="1" x14ac:dyDescent="0.25">
      <c r="A86" s="3065"/>
      <c r="B86" s="3151"/>
      <c r="C86" s="3152"/>
      <c r="D86" s="3165"/>
      <c r="E86" s="3165"/>
      <c r="F86" s="3165"/>
      <c r="G86" s="1619"/>
      <c r="H86" s="1620"/>
      <c r="I86" s="1621"/>
      <c r="J86" s="3120"/>
      <c r="K86" s="3121"/>
      <c r="L86" s="3122"/>
      <c r="M86" s="3195"/>
      <c r="N86" s="3104"/>
      <c r="O86" s="3106"/>
      <c r="P86" s="3108"/>
      <c r="Q86" s="3207"/>
      <c r="R86" s="3137"/>
      <c r="S86" s="3121"/>
      <c r="T86" s="3150"/>
      <c r="U86" s="1590" t="s">
        <v>1396</v>
      </c>
      <c r="V86" s="1625">
        <v>49600000</v>
      </c>
      <c r="W86" s="1550">
        <v>20</v>
      </c>
      <c r="X86" s="1623" t="s">
        <v>62</v>
      </c>
      <c r="Y86" s="3203"/>
      <c r="Z86" s="3199"/>
      <c r="AA86" s="3199"/>
      <c r="AB86" s="3199"/>
      <c r="AC86" s="3199"/>
      <c r="AD86" s="3199"/>
      <c r="AE86" s="3199"/>
      <c r="AF86" s="3199"/>
      <c r="AG86" s="3199"/>
      <c r="AH86" s="3199"/>
      <c r="AI86" s="3199"/>
      <c r="AJ86" s="3199"/>
      <c r="AK86" s="3199"/>
      <c r="AL86" s="3199"/>
      <c r="AM86" s="3199"/>
      <c r="AN86" s="3202"/>
      <c r="AO86" s="1626">
        <v>43475</v>
      </c>
      <c r="AP86" s="1626">
        <v>43646</v>
      </c>
      <c r="AQ86" s="3117"/>
      <c r="AR86" s="1229"/>
      <c r="AS86" s="1229"/>
    </row>
    <row r="87" spans="1:45" s="1165" customFormat="1" ht="51" customHeight="1" x14ac:dyDescent="0.25">
      <c r="A87" s="3065"/>
      <c r="B87" s="3151"/>
      <c r="C87" s="3152"/>
      <c r="D87" s="3165"/>
      <c r="E87" s="3165"/>
      <c r="F87" s="3165"/>
      <c r="G87" s="1619"/>
      <c r="H87" s="1620"/>
      <c r="I87" s="1621"/>
      <c r="J87" s="3120">
        <v>230</v>
      </c>
      <c r="K87" s="3122" t="s">
        <v>1397</v>
      </c>
      <c r="L87" s="3122" t="s">
        <v>1398</v>
      </c>
      <c r="M87" s="3212">
        <v>1</v>
      </c>
      <c r="N87" s="3104"/>
      <c r="O87" s="3106"/>
      <c r="P87" s="3108"/>
      <c r="Q87" s="3207">
        <f>SUM(V87:V90)/R68</f>
        <v>0.12026726057906459</v>
      </c>
      <c r="R87" s="3137"/>
      <c r="S87" s="3121"/>
      <c r="T87" s="3150"/>
      <c r="U87" s="1590" t="s">
        <v>1399</v>
      </c>
      <c r="V87" s="1625">
        <v>17000000</v>
      </c>
      <c r="W87" s="1550">
        <v>20</v>
      </c>
      <c r="X87" s="1623" t="s">
        <v>62</v>
      </c>
      <c r="Y87" s="3203"/>
      <c r="Z87" s="3199"/>
      <c r="AA87" s="3199"/>
      <c r="AB87" s="3199"/>
      <c r="AC87" s="3199"/>
      <c r="AD87" s="3199"/>
      <c r="AE87" s="3199"/>
      <c r="AF87" s="3199"/>
      <c r="AG87" s="3199"/>
      <c r="AH87" s="3199"/>
      <c r="AI87" s="3199"/>
      <c r="AJ87" s="3199"/>
      <c r="AK87" s="3199"/>
      <c r="AL87" s="3199"/>
      <c r="AM87" s="3199"/>
      <c r="AN87" s="3202"/>
      <c r="AO87" s="1626">
        <v>43475</v>
      </c>
      <c r="AP87" s="1626">
        <v>43646</v>
      </c>
      <c r="AQ87" s="3117"/>
      <c r="AR87" s="1229"/>
      <c r="AS87" s="1229"/>
    </row>
    <row r="88" spans="1:45" s="1165" customFormat="1" ht="51" customHeight="1" x14ac:dyDescent="0.25">
      <c r="A88" s="3065"/>
      <c r="B88" s="3151"/>
      <c r="C88" s="3152"/>
      <c r="D88" s="3165"/>
      <c r="E88" s="3165"/>
      <c r="F88" s="3165"/>
      <c r="G88" s="1619"/>
      <c r="H88" s="1620"/>
      <c r="I88" s="1621"/>
      <c r="J88" s="3120"/>
      <c r="K88" s="3122"/>
      <c r="L88" s="3122"/>
      <c r="M88" s="3212"/>
      <c r="N88" s="3104"/>
      <c r="O88" s="3106"/>
      <c r="P88" s="3108"/>
      <c r="Q88" s="3207"/>
      <c r="R88" s="3137"/>
      <c r="S88" s="3121"/>
      <c r="T88" s="3150"/>
      <c r="U88" s="1590" t="s">
        <v>1400</v>
      </c>
      <c r="V88" s="1625">
        <v>10000000</v>
      </c>
      <c r="W88" s="1550">
        <v>20</v>
      </c>
      <c r="X88" s="1623" t="s">
        <v>62</v>
      </c>
      <c r="Y88" s="3203"/>
      <c r="Z88" s="3199"/>
      <c r="AA88" s="3199"/>
      <c r="AB88" s="3199"/>
      <c r="AC88" s="3199"/>
      <c r="AD88" s="3199"/>
      <c r="AE88" s="3199"/>
      <c r="AF88" s="3199"/>
      <c r="AG88" s="3199"/>
      <c r="AH88" s="3199"/>
      <c r="AI88" s="3199"/>
      <c r="AJ88" s="3199"/>
      <c r="AK88" s="3199"/>
      <c r="AL88" s="3199"/>
      <c r="AM88" s="3199"/>
      <c r="AN88" s="3202"/>
      <c r="AO88" s="1626"/>
      <c r="AP88" s="1626"/>
      <c r="AQ88" s="3117"/>
      <c r="AR88" s="1229"/>
      <c r="AS88" s="1229"/>
    </row>
    <row r="89" spans="1:45" s="1165" customFormat="1" ht="41.25" customHeight="1" x14ac:dyDescent="0.25">
      <c r="A89" s="3065"/>
      <c r="B89" s="3151"/>
      <c r="C89" s="3152"/>
      <c r="D89" s="3165"/>
      <c r="E89" s="3165"/>
      <c r="F89" s="3165"/>
      <c r="G89" s="1619"/>
      <c r="H89" s="1620"/>
      <c r="I89" s="1621"/>
      <c r="J89" s="3120"/>
      <c r="K89" s="3122"/>
      <c r="L89" s="3122"/>
      <c r="M89" s="3212"/>
      <c r="N89" s="3104"/>
      <c r="O89" s="3106"/>
      <c r="P89" s="3108"/>
      <c r="Q89" s="3207"/>
      <c r="R89" s="3137"/>
      <c r="S89" s="3121"/>
      <c r="T89" s="3150"/>
      <c r="U89" s="1590" t="s">
        <v>1401</v>
      </c>
      <c r="V89" s="1625">
        <v>22000000</v>
      </c>
      <c r="W89" s="1550">
        <v>20</v>
      </c>
      <c r="X89" s="1623" t="s">
        <v>62</v>
      </c>
      <c r="Y89" s="3203"/>
      <c r="Z89" s="3199"/>
      <c r="AA89" s="3199"/>
      <c r="AB89" s="3199"/>
      <c r="AC89" s="3199"/>
      <c r="AD89" s="3199"/>
      <c r="AE89" s="3199"/>
      <c r="AF89" s="3199"/>
      <c r="AG89" s="3199"/>
      <c r="AH89" s="3199"/>
      <c r="AI89" s="3199"/>
      <c r="AJ89" s="3199"/>
      <c r="AK89" s="3199"/>
      <c r="AL89" s="3199"/>
      <c r="AM89" s="3199"/>
      <c r="AN89" s="3202"/>
      <c r="AO89" s="1626">
        <v>43475</v>
      </c>
      <c r="AP89" s="1626">
        <v>43646</v>
      </c>
      <c r="AQ89" s="3117"/>
      <c r="AR89" s="1229"/>
      <c r="AS89" s="1229"/>
    </row>
    <row r="90" spans="1:45" s="1165" customFormat="1" ht="30.75" customHeight="1" x14ac:dyDescent="0.25">
      <c r="A90" s="3065"/>
      <c r="B90" s="3151"/>
      <c r="C90" s="3152"/>
      <c r="D90" s="3165"/>
      <c r="E90" s="3165"/>
      <c r="F90" s="3165"/>
      <c r="G90" s="1627"/>
      <c r="H90" s="1628"/>
      <c r="I90" s="1629"/>
      <c r="J90" s="3120"/>
      <c r="K90" s="3122"/>
      <c r="L90" s="3122"/>
      <c r="M90" s="3212"/>
      <c r="N90" s="3209"/>
      <c r="O90" s="3210"/>
      <c r="P90" s="3211"/>
      <c r="Q90" s="3207"/>
      <c r="R90" s="3138"/>
      <c r="S90" s="3121"/>
      <c r="T90" s="3150"/>
      <c r="U90" s="311" t="s">
        <v>1381</v>
      </c>
      <c r="V90" s="1625">
        <v>5000000</v>
      </c>
      <c r="W90" s="1550">
        <v>20</v>
      </c>
      <c r="X90" s="1623" t="s">
        <v>62</v>
      </c>
      <c r="Y90" s="3204"/>
      <c r="Z90" s="3200"/>
      <c r="AA90" s="3200"/>
      <c r="AB90" s="3200"/>
      <c r="AC90" s="3200"/>
      <c r="AD90" s="3200"/>
      <c r="AE90" s="3200"/>
      <c r="AF90" s="3200"/>
      <c r="AG90" s="3200"/>
      <c r="AH90" s="3200"/>
      <c r="AI90" s="3200"/>
      <c r="AJ90" s="3200"/>
      <c r="AK90" s="3200"/>
      <c r="AL90" s="3200"/>
      <c r="AM90" s="3200"/>
      <c r="AN90" s="3202"/>
      <c r="AO90" s="1626">
        <v>43539</v>
      </c>
      <c r="AP90" s="1626">
        <v>43819</v>
      </c>
      <c r="AQ90" s="3117"/>
      <c r="AR90" s="1229"/>
      <c r="AS90" s="1229"/>
    </row>
    <row r="91" spans="1:45" s="1229" customFormat="1" ht="15" customHeight="1" x14ac:dyDescent="0.2">
      <c r="A91" s="3065"/>
      <c r="B91" s="3151"/>
      <c r="C91" s="3152"/>
      <c r="D91" s="3165"/>
      <c r="E91" s="3165"/>
      <c r="F91" s="3165"/>
      <c r="G91" s="1538">
        <v>79</v>
      </c>
      <c r="H91" s="191" t="s">
        <v>1402</v>
      </c>
      <c r="I91" s="191"/>
      <c r="J91" s="1576"/>
      <c r="K91" s="1577"/>
      <c r="L91" s="1578"/>
      <c r="M91" s="1579"/>
      <c r="N91" s="305"/>
      <c r="O91" s="1630"/>
      <c r="P91" s="193"/>
      <c r="Q91" s="1580"/>
      <c r="R91" s="1581"/>
      <c r="S91" s="1578"/>
      <c r="T91" s="1577"/>
      <c r="U91" s="1577"/>
      <c r="V91" s="1631"/>
      <c r="W91" s="1632"/>
      <c r="X91" s="1633"/>
      <c r="Y91" s="196"/>
      <c r="Z91" s="196"/>
      <c r="AA91" s="196"/>
      <c r="AB91" s="196"/>
      <c r="AC91" s="196"/>
      <c r="AD91" s="196"/>
      <c r="AE91" s="196"/>
      <c r="AF91" s="196"/>
      <c r="AG91" s="196"/>
      <c r="AH91" s="196"/>
      <c r="AI91" s="196"/>
      <c r="AJ91" s="196"/>
      <c r="AK91" s="196"/>
      <c r="AL91" s="196"/>
      <c r="AM91" s="196"/>
      <c r="AN91" s="196"/>
      <c r="AO91" s="196"/>
      <c r="AP91" s="196"/>
      <c r="AQ91" s="1613"/>
    </row>
    <row r="92" spans="1:45" s="1165" customFormat="1" ht="62.25" customHeight="1" x14ac:dyDescent="0.2">
      <c r="A92" s="3065"/>
      <c r="B92" s="3151"/>
      <c r="C92" s="3152"/>
      <c r="D92" s="3165"/>
      <c r="E92" s="3165"/>
      <c r="F92" s="3165"/>
      <c r="G92" s="1229"/>
      <c r="H92" s="1547"/>
      <c r="I92" s="1548"/>
      <c r="J92" s="3166">
        <v>231</v>
      </c>
      <c r="K92" s="3122" t="s">
        <v>1403</v>
      </c>
      <c r="L92" s="3122" t="s">
        <v>1404</v>
      </c>
      <c r="M92" s="3139">
        <v>1</v>
      </c>
      <c r="N92" s="3104" t="s">
        <v>1405</v>
      </c>
      <c r="O92" s="3214" t="s">
        <v>1406</v>
      </c>
      <c r="P92" s="3107" t="s">
        <v>1407</v>
      </c>
      <c r="Q92" s="3215">
        <f>SUM(V92:V93)/R92</f>
        <v>0.10344827586206896</v>
      </c>
      <c r="R92" s="3216">
        <f>SUM(V92:V100)</f>
        <v>58000000</v>
      </c>
      <c r="S92" s="3121" t="s">
        <v>1408</v>
      </c>
      <c r="T92" s="3121" t="s">
        <v>1409</v>
      </c>
      <c r="U92" s="266" t="s">
        <v>1410</v>
      </c>
      <c r="V92" s="1634">
        <v>3000000</v>
      </c>
      <c r="W92" s="1550" t="s">
        <v>61</v>
      </c>
      <c r="X92" s="1589" t="s">
        <v>1373</v>
      </c>
      <c r="Y92" s="3220">
        <v>638</v>
      </c>
      <c r="Z92" s="3198">
        <v>612</v>
      </c>
      <c r="AA92" s="3198">
        <v>380</v>
      </c>
      <c r="AB92" s="3198">
        <v>280</v>
      </c>
      <c r="AC92" s="3198">
        <v>161</v>
      </c>
      <c r="AD92" s="3198">
        <v>429</v>
      </c>
      <c r="AE92" s="3198"/>
      <c r="AF92" s="3198"/>
      <c r="AG92" s="3198"/>
      <c r="AH92" s="3198"/>
      <c r="AI92" s="3198"/>
      <c r="AJ92" s="3198"/>
      <c r="AK92" s="3198"/>
      <c r="AL92" s="3198"/>
      <c r="AM92" s="3198"/>
      <c r="AN92" s="3201">
        <f>+Y92+Z92</f>
        <v>1250</v>
      </c>
      <c r="AO92" s="1586">
        <v>43490</v>
      </c>
      <c r="AP92" s="1586">
        <v>43600</v>
      </c>
      <c r="AQ92" s="3208" t="s">
        <v>1347</v>
      </c>
      <c r="AR92" s="1229"/>
      <c r="AS92" s="1229"/>
    </row>
    <row r="93" spans="1:45" s="1165" customFormat="1" ht="48" customHeight="1" x14ac:dyDescent="0.2">
      <c r="A93" s="3065"/>
      <c r="B93" s="3151"/>
      <c r="C93" s="3152"/>
      <c r="D93" s="3165"/>
      <c r="E93" s="3165"/>
      <c r="F93" s="3165"/>
      <c r="G93" s="1229"/>
      <c r="H93" s="1554"/>
      <c r="I93" s="1555"/>
      <c r="J93" s="3166"/>
      <c r="K93" s="3122"/>
      <c r="L93" s="3122"/>
      <c r="M93" s="3139"/>
      <c r="N93" s="3213"/>
      <c r="O93" s="3164"/>
      <c r="P93" s="3108"/>
      <c r="Q93" s="3215"/>
      <c r="R93" s="3217"/>
      <c r="S93" s="3121"/>
      <c r="T93" s="3121"/>
      <c r="U93" s="266" t="s">
        <v>1411</v>
      </c>
      <c r="V93" s="1634">
        <v>3000000</v>
      </c>
      <c r="W93" s="1635">
        <v>20</v>
      </c>
      <c r="X93" s="1589" t="s">
        <v>62</v>
      </c>
      <c r="Y93" s="3203"/>
      <c r="Z93" s="3199"/>
      <c r="AA93" s="3199"/>
      <c r="AB93" s="3199"/>
      <c r="AC93" s="3199"/>
      <c r="AD93" s="3199"/>
      <c r="AE93" s="3199"/>
      <c r="AF93" s="3199"/>
      <c r="AG93" s="3199"/>
      <c r="AH93" s="3199"/>
      <c r="AI93" s="3199"/>
      <c r="AJ93" s="3199"/>
      <c r="AK93" s="3199"/>
      <c r="AL93" s="3199"/>
      <c r="AM93" s="3199"/>
      <c r="AN93" s="3202"/>
      <c r="AO93" s="1586">
        <v>43490</v>
      </c>
      <c r="AP93" s="1586">
        <v>43600</v>
      </c>
      <c r="AQ93" s="3219"/>
      <c r="AR93" s="1229"/>
      <c r="AS93" s="1229"/>
    </row>
    <row r="94" spans="1:45" s="1165" customFormat="1" ht="37.5" customHeight="1" x14ac:dyDescent="0.2">
      <c r="A94" s="3065"/>
      <c r="B94" s="3151"/>
      <c r="C94" s="3152"/>
      <c r="D94" s="3165"/>
      <c r="E94" s="3165"/>
      <c r="F94" s="3165"/>
      <c r="G94" s="1229"/>
      <c r="H94" s="1554"/>
      <c r="I94" s="1555"/>
      <c r="J94" s="3166">
        <v>232</v>
      </c>
      <c r="K94" s="3122" t="s">
        <v>1412</v>
      </c>
      <c r="L94" s="3122" t="s">
        <v>1413</v>
      </c>
      <c r="M94" s="3139">
        <v>12</v>
      </c>
      <c r="N94" s="3213"/>
      <c r="O94" s="3164"/>
      <c r="P94" s="3108"/>
      <c r="Q94" s="3215">
        <f>SUM(V94:V97)/R92</f>
        <v>0.7068965517241379</v>
      </c>
      <c r="R94" s="3217"/>
      <c r="S94" s="3121"/>
      <c r="T94" s="3121"/>
      <c r="U94" s="3172" t="s">
        <v>1414</v>
      </c>
      <c r="V94" s="1634">
        <v>5000000</v>
      </c>
      <c r="W94" s="1635">
        <v>20</v>
      </c>
      <c r="X94" s="1589" t="s">
        <v>62</v>
      </c>
      <c r="Y94" s="3203"/>
      <c r="Z94" s="3199"/>
      <c r="AA94" s="3199"/>
      <c r="AB94" s="3199"/>
      <c r="AC94" s="3199"/>
      <c r="AD94" s="3199"/>
      <c r="AE94" s="3199"/>
      <c r="AF94" s="3199"/>
      <c r="AG94" s="3199"/>
      <c r="AH94" s="3199"/>
      <c r="AI94" s="3199"/>
      <c r="AJ94" s="3199"/>
      <c r="AK94" s="3199"/>
      <c r="AL94" s="3199"/>
      <c r="AM94" s="3199"/>
      <c r="AN94" s="3202"/>
      <c r="AO94" s="1586">
        <v>43723</v>
      </c>
      <c r="AP94" s="1586">
        <v>43743</v>
      </c>
      <c r="AQ94" s="3219"/>
      <c r="AR94" s="1229"/>
      <c r="AS94" s="1229"/>
    </row>
    <row r="95" spans="1:45" s="1165" customFormat="1" ht="38.25" customHeight="1" x14ac:dyDescent="0.2">
      <c r="A95" s="3065"/>
      <c r="B95" s="3151"/>
      <c r="C95" s="3152"/>
      <c r="D95" s="3165"/>
      <c r="E95" s="3165"/>
      <c r="F95" s="3165"/>
      <c r="G95" s="1229"/>
      <c r="H95" s="1554"/>
      <c r="I95" s="1555"/>
      <c r="J95" s="3166"/>
      <c r="K95" s="3122"/>
      <c r="L95" s="3122"/>
      <c r="M95" s="3139"/>
      <c r="N95" s="3213"/>
      <c r="O95" s="3164"/>
      <c r="P95" s="3108"/>
      <c r="Q95" s="3215"/>
      <c r="R95" s="3217"/>
      <c r="S95" s="3121"/>
      <c r="T95" s="3121"/>
      <c r="U95" s="3173"/>
      <c r="V95" s="1634">
        <v>30000000</v>
      </c>
      <c r="W95" s="1635">
        <v>88</v>
      </c>
      <c r="X95" s="1589" t="s">
        <v>1415</v>
      </c>
      <c r="Y95" s="3203"/>
      <c r="Z95" s="3199"/>
      <c r="AA95" s="3199"/>
      <c r="AB95" s="3199"/>
      <c r="AC95" s="3199"/>
      <c r="AD95" s="3199"/>
      <c r="AE95" s="3199"/>
      <c r="AF95" s="3199"/>
      <c r="AG95" s="3199"/>
      <c r="AH95" s="3199"/>
      <c r="AI95" s="3199"/>
      <c r="AJ95" s="3199"/>
      <c r="AK95" s="3199"/>
      <c r="AL95" s="3199"/>
      <c r="AM95" s="3199"/>
      <c r="AN95" s="3202"/>
      <c r="AO95" s="1586"/>
      <c r="AP95" s="1586"/>
      <c r="AQ95" s="3219"/>
      <c r="AR95" s="1229"/>
      <c r="AS95" s="1229"/>
    </row>
    <row r="96" spans="1:45" s="1165" customFormat="1" ht="54.75" customHeight="1" x14ac:dyDescent="0.2">
      <c r="A96" s="3065"/>
      <c r="B96" s="3151"/>
      <c r="C96" s="3152"/>
      <c r="D96" s="3165"/>
      <c r="E96" s="3165"/>
      <c r="F96" s="3165"/>
      <c r="G96" s="1229"/>
      <c r="H96" s="1554"/>
      <c r="I96" s="1555"/>
      <c r="J96" s="3166"/>
      <c r="K96" s="3122"/>
      <c r="L96" s="3122"/>
      <c r="M96" s="3139"/>
      <c r="N96" s="3213"/>
      <c r="O96" s="3164"/>
      <c r="P96" s="3108"/>
      <c r="Q96" s="3215"/>
      <c r="R96" s="3217"/>
      <c r="S96" s="3121"/>
      <c r="T96" s="3121"/>
      <c r="U96" s="1636" t="s">
        <v>1416</v>
      </c>
      <c r="V96" s="1634">
        <v>5000000</v>
      </c>
      <c r="W96" s="1635">
        <v>20</v>
      </c>
      <c r="X96" s="1589" t="s">
        <v>62</v>
      </c>
      <c r="Y96" s="3203"/>
      <c r="Z96" s="3199"/>
      <c r="AA96" s="3199"/>
      <c r="AB96" s="3199"/>
      <c r="AC96" s="3199"/>
      <c r="AD96" s="3199"/>
      <c r="AE96" s="3199"/>
      <c r="AF96" s="3199"/>
      <c r="AG96" s="3199"/>
      <c r="AH96" s="3199"/>
      <c r="AI96" s="3199"/>
      <c r="AJ96" s="3199"/>
      <c r="AK96" s="3199"/>
      <c r="AL96" s="3199"/>
      <c r="AM96" s="3199"/>
      <c r="AN96" s="3202"/>
      <c r="AO96" s="1586">
        <v>43490</v>
      </c>
      <c r="AP96" s="1586">
        <v>43600</v>
      </c>
      <c r="AQ96" s="3219"/>
      <c r="AR96" s="3118"/>
      <c r="AS96" s="1229"/>
    </row>
    <row r="97" spans="1:45" s="1165" customFormat="1" ht="24.75" customHeight="1" x14ac:dyDescent="0.2">
      <c r="A97" s="3065"/>
      <c r="B97" s="3151"/>
      <c r="C97" s="3152"/>
      <c r="D97" s="3165"/>
      <c r="E97" s="3165"/>
      <c r="F97" s="3165"/>
      <c r="G97" s="1229"/>
      <c r="H97" s="1554"/>
      <c r="I97" s="1555"/>
      <c r="J97" s="3166"/>
      <c r="K97" s="3122"/>
      <c r="L97" s="3122"/>
      <c r="M97" s="3139"/>
      <c r="N97" s="3213"/>
      <c r="O97" s="3164"/>
      <c r="P97" s="3108"/>
      <c r="Q97" s="3215"/>
      <c r="R97" s="3217"/>
      <c r="S97" s="3121"/>
      <c r="T97" s="3121"/>
      <c r="U97" s="1637" t="s">
        <v>1381</v>
      </c>
      <c r="V97" s="1634">
        <v>1000000</v>
      </c>
      <c r="W97" s="1635">
        <v>20</v>
      </c>
      <c r="X97" s="1589" t="s">
        <v>62</v>
      </c>
      <c r="Y97" s="3203"/>
      <c r="Z97" s="3199"/>
      <c r="AA97" s="3199"/>
      <c r="AB97" s="3199"/>
      <c r="AC97" s="3199"/>
      <c r="AD97" s="3199"/>
      <c r="AE97" s="3199"/>
      <c r="AF97" s="3199"/>
      <c r="AG97" s="3199"/>
      <c r="AH97" s="3199"/>
      <c r="AI97" s="3199"/>
      <c r="AJ97" s="3199"/>
      <c r="AK97" s="3199"/>
      <c r="AL97" s="3199"/>
      <c r="AM97" s="3199"/>
      <c r="AN97" s="3202"/>
      <c r="AO97" s="1586">
        <v>43539</v>
      </c>
      <c r="AP97" s="1586">
        <v>43819</v>
      </c>
      <c r="AQ97" s="3219"/>
      <c r="AR97" s="3118"/>
      <c r="AS97" s="1229"/>
    </row>
    <row r="98" spans="1:45" s="1165" customFormat="1" ht="39.75" customHeight="1" x14ac:dyDescent="0.2">
      <c r="A98" s="3065"/>
      <c r="B98" s="3151"/>
      <c r="C98" s="3152"/>
      <c r="D98" s="3165"/>
      <c r="E98" s="3165"/>
      <c r="F98" s="3165"/>
      <c r="G98" s="1229"/>
      <c r="H98" s="1554"/>
      <c r="I98" s="1555"/>
      <c r="J98" s="3166">
        <v>233</v>
      </c>
      <c r="K98" s="3122" t="s">
        <v>1417</v>
      </c>
      <c r="L98" s="3122" t="s">
        <v>1418</v>
      </c>
      <c r="M98" s="3139">
        <v>1</v>
      </c>
      <c r="N98" s="3213"/>
      <c r="O98" s="3164"/>
      <c r="P98" s="3108"/>
      <c r="Q98" s="3215">
        <f>SUM(V98:V100)/R92</f>
        <v>0.18965517241379309</v>
      </c>
      <c r="R98" s="3217"/>
      <c r="S98" s="3121"/>
      <c r="T98" s="3121"/>
      <c r="U98" s="1636" t="s">
        <v>1419</v>
      </c>
      <c r="V98" s="1634">
        <v>5150000</v>
      </c>
      <c r="W98" s="1635">
        <v>20</v>
      </c>
      <c r="X98" s="1589" t="s">
        <v>62</v>
      </c>
      <c r="Y98" s="3203"/>
      <c r="Z98" s="3199"/>
      <c r="AA98" s="3199"/>
      <c r="AB98" s="3199"/>
      <c r="AC98" s="3199"/>
      <c r="AD98" s="3199"/>
      <c r="AE98" s="3199"/>
      <c r="AF98" s="3199"/>
      <c r="AG98" s="3199"/>
      <c r="AH98" s="3199"/>
      <c r="AI98" s="3199"/>
      <c r="AJ98" s="3199"/>
      <c r="AK98" s="3199"/>
      <c r="AL98" s="3199"/>
      <c r="AM98" s="3199"/>
      <c r="AN98" s="3202"/>
      <c r="AO98" s="1586">
        <v>43490</v>
      </c>
      <c r="AP98" s="1586">
        <v>43600</v>
      </c>
      <c r="AQ98" s="3219"/>
      <c r="AR98" s="1229"/>
      <c r="AS98" s="1229"/>
    </row>
    <row r="99" spans="1:45" s="1165" customFormat="1" ht="49.5" customHeight="1" x14ac:dyDescent="0.2">
      <c r="A99" s="3065"/>
      <c r="B99" s="3151"/>
      <c r="C99" s="3152"/>
      <c r="D99" s="3165"/>
      <c r="E99" s="3165"/>
      <c r="F99" s="3165"/>
      <c r="G99" s="1229"/>
      <c r="H99" s="1554"/>
      <c r="I99" s="1555"/>
      <c r="J99" s="3166"/>
      <c r="K99" s="3122"/>
      <c r="L99" s="3122"/>
      <c r="M99" s="3139"/>
      <c r="N99" s="3213"/>
      <c r="O99" s="3164"/>
      <c r="P99" s="3108"/>
      <c r="Q99" s="3215"/>
      <c r="R99" s="3217"/>
      <c r="S99" s="3121"/>
      <c r="T99" s="3121"/>
      <c r="U99" s="266" t="s">
        <v>1420</v>
      </c>
      <c r="V99" s="1634">
        <v>2850000</v>
      </c>
      <c r="W99" s="1635">
        <v>20</v>
      </c>
      <c r="X99" s="1589" t="s">
        <v>62</v>
      </c>
      <c r="Y99" s="3203"/>
      <c r="Z99" s="3199"/>
      <c r="AA99" s="3199"/>
      <c r="AB99" s="3199"/>
      <c r="AC99" s="3199"/>
      <c r="AD99" s="3199"/>
      <c r="AE99" s="3199"/>
      <c r="AF99" s="3199"/>
      <c r="AG99" s="3199"/>
      <c r="AH99" s="3199"/>
      <c r="AI99" s="3199"/>
      <c r="AJ99" s="3199"/>
      <c r="AK99" s="3199"/>
      <c r="AL99" s="3199"/>
      <c r="AM99" s="3199"/>
      <c r="AN99" s="3202"/>
      <c r="AO99" s="1586">
        <v>43490</v>
      </c>
      <c r="AP99" s="1586">
        <v>43600</v>
      </c>
      <c r="AQ99" s="3219"/>
      <c r="AR99" s="1229"/>
      <c r="AS99" s="1229"/>
    </row>
    <row r="100" spans="1:45" s="1165" customFormat="1" ht="39.75" customHeight="1" x14ac:dyDescent="0.2">
      <c r="A100" s="3065"/>
      <c r="B100" s="3151"/>
      <c r="C100" s="3152"/>
      <c r="D100" s="3165"/>
      <c r="E100" s="3165"/>
      <c r="F100" s="3165"/>
      <c r="G100" s="1229"/>
      <c r="H100" s="1573"/>
      <c r="I100" s="1574"/>
      <c r="J100" s="3166"/>
      <c r="K100" s="3122"/>
      <c r="L100" s="3122"/>
      <c r="M100" s="3139"/>
      <c r="N100" s="3213"/>
      <c r="O100" s="3164"/>
      <c r="P100" s="3108"/>
      <c r="Q100" s="3215"/>
      <c r="R100" s="3218"/>
      <c r="S100" s="3121"/>
      <c r="T100" s="3121"/>
      <c r="U100" s="266" t="s">
        <v>1421</v>
      </c>
      <c r="V100" s="1634">
        <v>3000000</v>
      </c>
      <c r="W100" s="1635">
        <v>20</v>
      </c>
      <c r="X100" s="1589" t="s">
        <v>62</v>
      </c>
      <c r="Y100" s="3203"/>
      <c r="Z100" s="3199"/>
      <c r="AA100" s="3199"/>
      <c r="AB100" s="3199"/>
      <c r="AC100" s="3199"/>
      <c r="AD100" s="3199"/>
      <c r="AE100" s="3199"/>
      <c r="AF100" s="3199"/>
      <c r="AG100" s="3199"/>
      <c r="AH100" s="3199"/>
      <c r="AI100" s="3199"/>
      <c r="AJ100" s="3199"/>
      <c r="AK100" s="3199"/>
      <c r="AL100" s="3199"/>
      <c r="AM100" s="3199"/>
      <c r="AN100" s="3202"/>
      <c r="AO100" s="1586">
        <v>43534</v>
      </c>
      <c r="AP100" s="1626">
        <v>43753</v>
      </c>
      <c r="AQ100" s="3219"/>
      <c r="AR100" s="1229"/>
      <c r="AS100" s="1229"/>
    </row>
    <row r="101" spans="1:45" s="1229" customFormat="1" ht="15" customHeight="1" x14ac:dyDescent="0.2">
      <c r="A101" s="3065"/>
      <c r="B101" s="3151"/>
      <c r="C101" s="3152"/>
      <c r="D101" s="3165"/>
      <c r="E101" s="3165"/>
      <c r="F101" s="3165"/>
      <c r="G101" s="1538">
        <v>80</v>
      </c>
      <c r="H101" s="191" t="s">
        <v>1422</v>
      </c>
      <c r="I101" s="191"/>
      <c r="J101" s="1576"/>
      <c r="K101" s="1577"/>
      <c r="L101" s="1578"/>
      <c r="M101" s="1579"/>
      <c r="N101" s="305"/>
      <c r="O101" s="306"/>
      <c r="P101" s="193"/>
      <c r="Q101" s="1580"/>
      <c r="R101" s="1581"/>
      <c r="S101" s="1578"/>
      <c r="T101" s="1577"/>
      <c r="U101" s="1577"/>
      <c r="V101" s="1581"/>
      <c r="W101" s="196"/>
      <c r="X101" s="1612"/>
      <c r="Y101" s="191"/>
      <c r="Z101" s="191"/>
      <c r="AA101" s="191"/>
      <c r="AB101" s="191"/>
      <c r="AC101" s="191"/>
      <c r="AD101" s="191"/>
      <c r="AE101" s="191"/>
      <c r="AF101" s="191"/>
      <c r="AG101" s="191"/>
      <c r="AH101" s="191"/>
      <c r="AI101" s="191"/>
      <c r="AJ101" s="191"/>
      <c r="AK101" s="198"/>
      <c r="AL101" s="198"/>
      <c r="AM101" s="198"/>
      <c r="AN101" s="198"/>
      <c r="AO101" s="198"/>
      <c r="AP101" s="198"/>
      <c r="AQ101" s="1638"/>
    </row>
    <row r="102" spans="1:45" s="1165" customFormat="1" ht="61.5" customHeight="1" x14ac:dyDescent="0.2">
      <c r="A102" s="3065"/>
      <c r="B102" s="3151"/>
      <c r="C102" s="3152"/>
      <c r="D102" s="3165"/>
      <c r="E102" s="3165"/>
      <c r="F102" s="3165"/>
      <c r="G102" s="1229"/>
      <c r="H102" s="1547"/>
      <c r="I102" s="1548"/>
      <c r="J102" s="3139">
        <v>234</v>
      </c>
      <c r="K102" s="3167" t="s">
        <v>1423</v>
      </c>
      <c r="L102" s="3167" t="s">
        <v>1424</v>
      </c>
      <c r="M102" s="3223">
        <v>2</v>
      </c>
      <c r="N102" s="3104" t="s">
        <v>1425</v>
      </c>
      <c r="O102" s="3164" t="s">
        <v>1426</v>
      </c>
      <c r="P102" s="3108" t="s">
        <v>1427</v>
      </c>
      <c r="Q102" s="3224">
        <f>SUM(V102:V103)/R102</f>
        <v>0.26315789473684209</v>
      </c>
      <c r="R102" s="3216">
        <f>SUM(V102:V112)</f>
        <v>38000000</v>
      </c>
      <c r="S102" s="3121" t="s">
        <v>1428</v>
      </c>
      <c r="T102" s="3121" t="s">
        <v>1429</v>
      </c>
      <c r="U102" s="1561" t="s">
        <v>1430</v>
      </c>
      <c r="V102" s="1639">
        <v>5000000</v>
      </c>
      <c r="W102" s="1640" t="s">
        <v>61</v>
      </c>
      <c r="X102" s="1559" t="s">
        <v>1373</v>
      </c>
      <c r="Y102" s="3201">
        <v>638</v>
      </c>
      <c r="Z102" s="3201">
        <v>612</v>
      </c>
      <c r="AA102" s="3201">
        <v>380</v>
      </c>
      <c r="AB102" s="3201">
        <v>280</v>
      </c>
      <c r="AC102" s="3201">
        <v>161</v>
      </c>
      <c r="AD102" s="3201">
        <v>429</v>
      </c>
      <c r="AE102" s="3201"/>
      <c r="AF102" s="3201"/>
      <c r="AG102" s="3201"/>
      <c r="AH102" s="3201"/>
      <c r="AI102" s="3201"/>
      <c r="AJ102" s="3201"/>
      <c r="AK102" s="3201"/>
      <c r="AL102" s="3201"/>
      <c r="AM102" s="3201"/>
      <c r="AN102" s="3201">
        <f>+Y102+Z102</f>
        <v>1250</v>
      </c>
      <c r="AO102" s="1586">
        <v>43480</v>
      </c>
      <c r="AP102" s="1586">
        <v>43600</v>
      </c>
      <c r="AQ102" s="3208" t="s">
        <v>1347</v>
      </c>
      <c r="AR102" s="1229"/>
      <c r="AS102" s="1229"/>
    </row>
    <row r="103" spans="1:45" s="1165" customFormat="1" ht="55.5" customHeight="1" x14ac:dyDescent="0.2">
      <c r="A103" s="3065"/>
      <c r="B103" s="3151"/>
      <c r="C103" s="3152"/>
      <c r="D103" s="3165"/>
      <c r="E103" s="3165"/>
      <c r="F103" s="3165"/>
      <c r="G103" s="1229"/>
      <c r="H103" s="1554"/>
      <c r="I103" s="1555"/>
      <c r="J103" s="3139"/>
      <c r="K103" s="3167"/>
      <c r="L103" s="3167"/>
      <c r="M103" s="3223"/>
      <c r="N103" s="3213"/>
      <c r="O103" s="3164"/>
      <c r="P103" s="3108"/>
      <c r="Q103" s="3224"/>
      <c r="R103" s="3217"/>
      <c r="S103" s="3121"/>
      <c r="T103" s="3121"/>
      <c r="U103" s="1561" t="s">
        <v>1431</v>
      </c>
      <c r="V103" s="1639">
        <v>5000000</v>
      </c>
      <c r="W103" s="1641">
        <v>20</v>
      </c>
      <c r="X103" s="1559" t="s">
        <v>62</v>
      </c>
      <c r="Y103" s="3202"/>
      <c r="Z103" s="3202"/>
      <c r="AA103" s="3202"/>
      <c r="AB103" s="3202"/>
      <c r="AC103" s="3202"/>
      <c r="AD103" s="3202"/>
      <c r="AE103" s="3202"/>
      <c r="AF103" s="3202"/>
      <c r="AG103" s="3202"/>
      <c r="AH103" s="3202"/>
      <c r="AI103" s="3202"/>
      <c r="AJ103" s="3202"/>
      <c r="AK103" s="3202"/>
      <c r="AL103" s="3202"/>
      <c r="AM103" s="3202"/>
      <c r="AN103" s="3202"/>
      <c r="AO103" s="1586">
        <v>43480</v>
      </c>
      <c r="AP103" s="1586">
        <v>43600</v>
      </c>
      <c r="AQ103" s="3219"/>
      <c r="AR103" s="3118"/>
      <c r="AS103" s="1229"/>
    </row>
    <row r="104" spans="1:45" s="1165" customFormat="1" ht="34.5" customHeight="1" x14ac:dyDescent="0.2">
      <c r="A104" s="3065"/>
      <c r="B104" s="3151"/>
      <c r="C104" s="3152"/>
      <c r="D104" s="3165"/>
      <c r="E104" s="3165"/>
      <c r="F104" s="3165"/>
      <c r="G104" s="1229"/>
      <c r="H104" s="1554"/>
      <c r="I104" s="1555"/>
      <c r="J104" s="3139">
        <v>235</v>
      </c>
      <c r="K104" s="3167" t="s">
        <v>1432</v>
      </c>
      <c r="L104" s="3122" t="s">
        <v>1433</v>
      </c>
      <c r="M104" s="3223">
        <v>2</v>
      </c>
      <c r="N104" s="3213"/>
      <c r="O104" s="3164"/>
      <c r="P104" s="3108"/>
      <c r="Q104" s="3224">
        <f>SUM(V104:V112)/R102</f>
        <v>0.73684210526315785</v>
      </c>
      <c r="R104" s="3217"/>
      <c r="S104" s="3121"/>
      <c r="T104" s="3150"/>
      <c r="U104" s="209" t="s">
        <v>1434</v>
      </c>
      <c r="V104" s="1639">
        <v>2000000</v>
      </c>
      <c r="W104" s="1641">
        <v>20</v>
      </c>
      <c r="X104" s="1559" t="s">
        <v>62</v>
      </c>
      <c r="Y104" s="3202"/>
      <c r="Z104" s="3202"/>
      <c r="AA104" s="3202"/>
      <c r="AB104" s="3202"/>
      <c r="AC104" s="3202"/>
      <c r="AD104" s="3202"/>
      <c r="AE104" s="3202"/>
      <c r="AF104" s="3202"/>
      <c r="AG104" s="3202"/>
      <c r="AH104" s="3202"/>
      <c r="AI104" s="3202"/>
      <c r="AJ104" s="3202"/>
      <c r="AK104" s="3202"/>
      <c r="AL104" s="3202"/>
      <c r="AM104" s="3202"/>
      <c r="AN104" s="3202"/>
      <c r="AO104" s="1586">
        <v>43475</v>
      </c>
      <c r="AP104" s="1586">
        <v>43646</v>
      </c>
      <c r="AQ104" s="3219"/>
      <c r="AR104" s="3118"/>
      <c r="AS104" s="1229"/>
    </row>
    <row r="105" spans="1:45" s="1165" customFormat="1" ht="33" customHeight="1" x14ac:dyDescent="0.2">
      <c r="A105" s="3065"/>
      <c r="B105" s="3151"/>
      <c r="C105" s="3152"/>
      <c r="D105" s="3165"/>
      <c r="E105" s="3165"/>
      <c r="F105" s="3165"/>
      <c r="G105" s="1229"/>
      <c r="H105" s="1554"/>
      <c r="I105" s="1555"/>
      <c r="J105" s="3139"/>
      <c r="K105" s="3167"/>
      <c r="L105" s="3122"/>
      <c r="M105" s="3223"/>
      <c r="N105" s="3213"/>
      <c r="O105" s="3164"/>
      <c r="P105" s="3108"/>
      <c r="Q105" s="3224"/>
      <c r="R105" s="3217"/>
      <c r="S105" s="3121"/>
      <c r="T105" s="3150"/>
      <c r="U105" s="209" t="s">
        <v>1435</v>
      </c>
      <c r="V105" s="1639">
        <v>5000000</v>
      </c>
      <c r="W105" s="1641">
        <v>20</v>
      </c>
      <c r="X105" s="1559" t="s">
        <v>62</v>
      </c>
      <c r="Y105" s="3202"/>
      <c r="Z105" s="3202"/>
      <c r="AA105" s="3202"/>
      <c r="AB105" s="3202"/>
      <c r="AC105" s="3202"/>
      <c r="AD105" s="3202"/>
      <c r="AE105" s="3202"/>
      <c r="AF105" s="3202"/>
      <c r="AG105" s="3202"/>
      <c r="AH105" s="3202"/>
      <c r="AI105" s="3202"/>
      <c r="AJ105" s="3202"/>
      <c r="AK105" s="3202"/>
      <c r="AL105" s="3202"/>
      <c r="AM105" s="3202"/>
      <c r="AN105" s="3202"/>
      <c r="AO105" s="1586">
        <v>43475</v>
      </c>
      <c r="AP105" s="1586">
        <v>43646</v>
      </c>
      <c r="AQ105" s="3219"/>
      <c r="AR105" s="3118"/>
      <c r="AS105" s="1229"/>
    </row>
    <row r="106" spans="1:45" s="1165" customFormat="1" ht="45" customHeight="1" x14ac:dyDescent="0.2">
      <c r="A106" s="3065"/>
      <c r="B106" s="3151"/>
      <c r="C106" s="3152"/>
      <c r="D106" s="3165"/>
      <c r="E106" s="3165"/>
      <c r="F106" s="3165"/>
      <c r="G106" s="1229"/>
      <c r="H106" s="1554"/>
      <c r="I106" s="1555"/>
      <c r="J106" s="3139"/>
      <c r="K106" s="3167"/>
      <c r="L106" s="3122"/>
      <c r="M106" s="3223"/>
      <c r="N106" s="3213"/>
      <c r="O106" s="3164"/>
      <c r="P106" s="3108"/>
      <c r="Q106" s="3224"/>
      <c r="R106" s="3217"/>
      <c r="S106" s="3121"/>
      <c r="T106" s="3150"/>
      <c r="U106" s="209" t="s">
        <v>1436</v>
      </c>
      <c r="V106" s="1639">
        <v>4000000</v>
      </c>
      <c r="W106" s="1641">
        <v>20</v>
      </c>
      <c r="X106" s="1559" t="s">
        <v>62</v>
      </c>
      <c r="Y106" s="3202"/>
      <c r="Z106" s="3202"/>
      <c r="AA106" s="3202"/>
      <c r="AB106" s="3202"/>
      <c r="AC106" s="3202"/>
      <c r="AD106" s="3202"/>
      <c r="AE106" s="3202"/>
      <c r="AF106" s="3202"/>
      <c r="AG106" s="3202"/>
      <c r="AH106" s="3202"/>
      <c r="AI106" s="3202"/>
      <c r="AJ106" s="3202"/>
      <c r="AK106" s="3202"/>
      <c r="AL106" s="3202"/>
      <c r="AM106" s="3202"/>
      <c r="AN106" s="3202"/>
      <c r="AO106" s="1586">
        <v>43480</v>
      </c>
      <c r="AP106" s="1586">
        <v>43590</v>
      </c>
      <c r="AQ106" s="3219"/>
      <c r="AR106" s="1229"/>
      <c r="AS106" s="1229"/>
    </row>
    <row r="107" spans="1:45" s="1165" customFormat="1" ht="31.5" customHeight="1" x14ac:dyDescent="0.2">
      <c r="A107" s="3065"/>
      <c r="B107" s="3151"/>
      <c r="C107" s="3152"/>
      <c r="D107" s="3165"/>
      <c r="E107" s="3165"/>
      <c r="F107" s="3165"/>
      <c r="G107" s="1229"/>
      <c r="H107" s="1554"/>
      <c r="I107" s="1555"/>
      <c r="J107" s="3139"/>
      <c r="K107" s="3167"/>
      <c r="L107" s="3122"/>
      <c r="M107" s="3223"/>
      <c r="N107" s="3213"/>
      <c r="O107" s="3164"/>
      <c r="P107" s="3108"/>
      <c r="Q107" s="3224"/>
      <c r="R107" s="3217"/>
      <c r="S107" s="3121"/>
      <c r="T107" s="3150"/>
      <c r="U107" s="209" t="s">
        <v>1437</v>
      </c>
      <c r="V107" s="1639">
        <v>1000000</v>
      </c>
      <c r="W107" s="1641">
        <v>20</v>
      </c>
      <c r="X107" s="1559" t="s">
        <v>62</v>
      </c>
      <c r="Y107" s="3202"/>
      <c r="Z107" s="3202"/>
      <c r="AA107" s="3202"/>
      <c r="AB107" s="3202"/>
      <c r="AC107" s="3202"/>
      <c r="AD107" s="3202"/>
      <c r="AE107" s="3202"/>
      <c r="AF107" s="3202"/>
      <c r="AG107" s="3202"/>
      <c r="AH107" s="3202"/>
      <c r="AI107" s="3202"/>
      <c r="AJ107" s="3202"/>
      <c r="AK107" s="3202"/>
      <c r="AL107" s="3202"/>
      <c r="AM107" s="3202"/>
      <c r="AN107" s="3202"/>
      <c r="AO107" s="1586">
        <v>43475</v>
      </c>
      <c r="AP107" s="1586">
        <v>43646</v>
      </c>
      <c r="AQ107" s="3219"/>
      <c r="AR107" s="1229"/>
      <c r="AS107" s="1229"/>
    </row>
    <row r="108" spans="1:45" s="1165" customFormat="1" ht="30" customHeight="1" x14ac:dyDescent="0.2">
      <c r="A108" s="3065"/>
      <c r="B108" s="3151"/>
      <c r="C108" s="3152"/>
      <c r="D108" s="3165"/>
      <c r="E108" s="3165"/>
      <c r="F108" s="3165"/>
      <c r="G108" s="1229"/>
      <c r="H108" s="1554"/>
      <c r="I108" s="1555"/>
      <c r="J108" s="3139"/>
      <c r="K108" s="3167"/>
      <c r="L108" s="3122"/>
      <c r="M108" s="3223"/>
      <c r="N108" s="3213"/>
      <c r="O108" s="3164"/>
      <c r="P108" s="3108"/>
      <c r="Q108" s="3224"/>
      <c r="R108" s="3217"/>
      <c r="S108" s="3121"/>
      <c r="T108" s="3150"/>
      <c r="U108" s="209" t="s">
        <v>1438</v>
      </c>
      <c r="V108" s="1639">
        <v>1000000</v>
      </c>
      <c r="W108" s="1641">
        <v>20</v>
      </c>
      <c r="X108" s="1559" t="s">
        <v>62</v>
      </c>
      <c r="Y108" s="3202"/>
      <c r="Z108" s="3202"/>
      <c r="AA108" s="3202"/>
      <c r="AB108" s="3202"/>
      <c r="AC108" s="3202"/>
      <c r="AD108" s="3202"/>
      <c r="AE108" s="3202"/>
      <c r="AF108" s="3202"/>
      <c r="AG108" s="3202"/>
      <c r="AH108" s="3202"/>
      <c r="AI108" s="3202"/>
      <c r="AJ108" s="3202"/>
      <c r="AK108" s="3202"/>
      <c r="AL108" s="3202"/>
      <c r="AM108" s="3202"/>
      <c r="AN108" s="3202"/>
      <c r="AO108" s="1586">
        <v>43600</v>
      </c>
      <c r="AP108" s="1586">
        <v>43636</v>
      </c>
      <c r="AQ108" s="3219"/>
      <c r="AR108" s="1229"/>
      <c r="AS108" s="1229"/>
    </row>
    <row r="109" spans="1:45" s="1165" customFormat="1" ht="19.5" customHeight="1" x14ac:dyDescent="0.2">
      <c r="A109" s="3065"/>
      <c r="B109" s="3151"/>
      <c r="C109" s="3152"/>
      <c r="D109" s="3165"/>
      <c r="E109" s="3165"/>
      <c r="F109" s="3165"/>
      <c r="G109" s="1229"/>
      <c r="H109" s="1554"/>
      <c r="I109" s="1555"/>
      <c r="J109" s="3139"/>
      <c r="K109" s="3167"/>
      <c r="L109" s="3122"/>
      <c r="M109" s="3223"/>
      <c r="N109" s="3213"/>
      <c r="O109" s="3164"/>
      <c r="P109" s="3108"/>
      <c r="Q109" s="3224"/>
      <c r="R109" s="3217"/>
      <c r="S109" s="3121"/>
      <c r="T109" s="3150"/>
      <c r="U109" s="3221" t="s">
        <v>1439</v>
      </c>
      <c r="V109" s="1639">
        <v>2000000</v>
      </c>
      <c r="W109" s="1641">
        <v>20</v>
      </c>
      <c r="X109" s="1559" t="s">
        <v>62</v>
      </c>
      <c r="Y109" s="3202"/>
      <c r="Z109" s="3202"/>
      <c r="AA109" s="3202"/>
      <c r="AB109" s="3202"/>
      <c r="AC109" s="3202"/>
      <c r="AD109" s="3202"/>
      <c r="AE109" s="3202"/>
      <c r="AF109" s="3202"/>
      <c r="AG109" s="3202"/>
      <c r="AH109" s="3202"/>
      <c r="AI109" s="3202"/>
      <c r="AJ109" s="3202"/>
      <c r="AK109" s="3202"/>
      <c r="AL109" s="3202"/>
      <c r="AM109" s="3202"/>
      <c r="AN109" s="3202"/>
      <c r="AO109" s="1586">
        <v>43542</v>
      </c>
      <c r="AP109" s="1586">
        <v>43631</v>
      </c>
      <c r="AQ109" s="3219"/>
      <c r="AR109" s="1229"/>
      <c r="AS109" s="1229"/>
    </row>
    <row r="110" spans="1:45" s="1165" customFormat="1" ht="28.5" customHeight="1" x14ac:dyDescent="0.2">
      <c r="A110" s="3065"/>
      <c r="B110" s="3151"/>
      <c r="C110" s="3152"/>
      <c r="D110" s="3165"/>
      <c r="E110" s="3165"/>
      <c r="F110" s="3165"/>
      <c r="G110" s="1229"/>
      <c r="H110" s="1554"/>
      <c r="I110" s="1555"/>
      <c r="J110" s="3139"/>
      <c r="K110" s="3167"/>
      <c r="L110" s="3122"/>
      <c r="M110" s="3223"/>
      <c r="N110" s="3213"/>
      <c r="O110" s="3164"/>
      <c r="P110" s="3108"/>
      <c r="Q110" s="3224"/>
      <c r="R110" s="3217"/>
      <c r="S110" s="3121"/>
      <c r="T110" s="3150"/>
      <c r="U110" s="3222"/>
      <c r="V110" s="1639">
        <v>8000000</v>
      </c>
      <c r="W110" s="1641">
        <v>88</v>
      </c>
      <c r="X110" s="1559" t="s">
        <v>1440</v>
      </c>
      <c r="Y110" s="3202"/>
      <c r="Z110" s="3202"/>
      <c r="AA110" s="3202"/>
      <c r="AB110" s="3202"/>
      <c r="AC110" s="3202"/>
      <c r="AD110" s="3202"/>
      <c r="AE110" s="3202"/>
      <c r="AF110" s="3202"/>
      <c r="AG110" s="3202"/>
      <c r="AH110" s="3202"/>
      <c r="AI110" s="3202"/>
      <c r="AJ110" s="3202"/>
      <c r="AK110" s="3202"/>
      <c r="AL110" s="3202"/>
      <c r="AM110" s="3202"/>
      <c r="AN110" s="3202"/>
      <c r="AO110" s="1586"/>
      <c r="AP110" s="1586"/>
      <c r="AQ110" s="3219"/>
      <c r="AR110" s="1229"/>
      <c r="AS110" s="1229"/>
    </row>
    <row r="111" spans="1:45" s="1165" customFormat="1" ht="35.25" customHeight="1" x14ac:dyDescent="0.2">
      <c r="A111" s="3065"/>
      <c r="B111" s="3151"/>
      <c r="C111" s="3152"/>
      <c r="D111" s="3165"/>
      <c r="E111" s="3165"/>
      <c r="F111" s="3165"/>
      <c r="G111" s="1229"/>
      <c r="H111" s="1554"/>
      <c r="I111" s="1555"/>
      <c r="J111" s="3139"/>
      <c r="K111" s="3167"/>
      <c r="L111" s="3122"/>
      <c r="M111" s="3223"/>
      <c r="N111" s="3213"/>
      <c r="O111" s="3164"/>
      <c r="P111" s="3108"/>
      <c r="Q111" s="3224"/>
      <c r="R111" s="3217"/>
      <c r="S111" s="3121"/>
      <c r="T111" s="3150"/>
      <c r="U111" s="3221" t="s">
        <v>1441</v>
      </c>
      <c r="V111" s="1639">
        <v>3000000</v>
      </c>
      <c r="W111" s="1642">
        <v>20</v>
      </c>
      <c r="X111" s="1643" t="s">
        <v>62</v>
      </c>
      <c r="Y111" s="3202"/>
      <c r="Z111" s="3202"/>
      <c r="AA111" s="3202"/>
      <c r="AB111" s="3202"/>
      <c r="AC111" s="3202"/>
      <c r="AD111" s="3202"/>
      <c r="AE111" s="3202"/>
      <c r="AF111" s="3202"/>
      <c r="AG111" s="3202"/>
      <c r="AH111" s="3202"/>
      <c r="AI111" s="3202"/>
      <c r="AJ111" s="3202"/>
      <c r="AK111" s="3202"/>
      <c r="AL111" s="3202"/>
      <c r="AM111" s="3202"/>
      <c r="AN111" s="3202"/>
      <c r="AO111" s="1586"/>
      <c r="AP111" s="1586"/>
      <c r="AQ111" s="3219"/>
      <c r="AR111" s="1229"/>
      <c r="AS111" s="1229"/>
    </row>
    <row r="112" spans="1:45" s="1165" customFormat="1" ht="39" customHeight="1" x14ac:dyDescent="0.2">
      <c r="A112" s="3065"/>
      <c r="B112" s="3151"/>
      <c r="C112" s="3152"/>
      <c r="D112" s="3165"/>
      <c r="E112" s="3165"/>
      <c r="F112" s="3165"/>
      <c r="G112" s="1229"/>
      <c r="H112" s="1573"/>
      <c r="I112" s="1574"/>
      <c r="J112" s="3139"/>
      <c r="K112" s="3167"/>
      <c r="L112" s="3122"/>
      <c r="M112" s="3223"/>
      <c r="N112" s="3213"/>
      <c r="O112" s="3164"/>
      <c r="P112" s="3108"/>
      <c r="Q112" s="3224"/>
      <c r="R112" s="3218"/>
      <c r="S112" s="3121"/>
      <c r="T112" s="3150"/>
      <c r="U112" s="3222"/>
      <c r="V112" s="1639">
        <v>2000000</v>
      </c>
      <c r="W112" s="1642">
        <v>88</v>
      </c>
      <c r="X112" s="1559" t="s">
        <v>1440</v>
      </c>
      <c r="Y112" s="3202"/>
      <c r="Z112" s="3202"/>
      <c r="AA112" s="3202"/>
      <c r="AB112" s="3202"/>
      <c r="AC112" s="3202"/>
      <c r="AD112" s="3202"/>
      <c r="AE112" s="3202"/>
      <c r="AF112" s="3202"/>
      <c r="AG112" s="3202"/>
      <c r="AH112" s="3202"/>
      <c r="AI112" s="3202"/>
      <c r="AJ112" s="3202"/>
      <c r="AK112" s="3202"/>
      <c r="AL112" s="3202"/>
      <c r="AM112" s="3202"/>
      <c r="AN112" s="3202"/>
      <c r="AO112" s="1586">
        <v>43490</v>
      </c>
      <c r="AP112" s="1586">
        <v>43600</v>
      </c>
      <c r="AQ112" s="3219"/>
      <c r="AR112" s="1229"/>
      <c r="AS112" s="1229"/>
    </row>
    <row r="113" spans="1:45" s="1229" customFormat="1" ht="15" customHeight="1" x14ac:dyDescent="0.2">
      <c r="A113" s="3065"/>
      <c r="B113" s="3151"/>
      <c r="C113" s="3152"/>
      <c r="D113" s="1599">
        <v>25</v>
      </c>
      <c r="E113" s="1600" t="s">
        <v>1442</v>
      </c>
      <c r="F113" s="1600"/>
      <c r="G113" s="1528"/>
      <c r="H113" s="1528"/>
      <c r="I113" s="1528"/>
      <c r="J113" s="1601"/>
      <c r="K113" s="1602"/>
      <c r="L113" s="1603"/>
      <c r="M113" s="1604"/>
      <c r="N113" s="1532"/>
      <c r="O113" s="1529"/>
      <c r="P113" s="1531"/>
      <c r="Q113" s="1605"/>
      <c r="R113" s="1606"/>
      <c r="S113" s="1603"/>
      <c r="T113" s="1602"/>
      <c r="U113" s="1602"/>
      <c r="V113" s="1606"/>
      <c r="W113" s="1534"/>
      <c r="X113" s="1644"/>
      <c r="Y113" s="1528"/>
      <c r="Z113" s="1528"/>
      <c r="AA113" s="1528"/>
      <c r="AB113" s="1528"/>
      <c r="AC113" s="1528"/>
      <c r="AD113" s="1528"/>
      <c r="AE113" s="1528"/>
      <c r="AF113" s="1528"/>
      <c r="AG113" s="1528"/>
      <c r="AH113" s="1528"/>
      <c r="AI113" s="1528"/>
      <c r="AJ113" s="1528"/>
      <c r="AK113" s="1528"/>
      <c r="AL113" s="1536"/>
      <c r="AM113" s="1531"/>
      <c r="AN113" s="1531"/>
      <c r="AO113" s="1531"/>
      <c r="AP113" s="1531"/>
      <c r="AQ113" s="1537"/>
    </row>
    <row r="114" spans="1:45" s="1229" customFormat="1" ht="15" customHeight="1" x14ac:dyDescent="0.2">
      <c r="A114" s="3065"/>
      <c r="B114" s="3151"/>
      <c r="C114" s="3152"/>
      <c r="D114" s="3165"/>
      <c r="E114" s="3165"/>
      <c r="F114" s="3165"/>
      <c r="G114" s="1538">
        <v>81</v>
      </c>
      <c r="H114" s="191" t="s">
        <v>1443</v>
      </c>
      <c r="I114" s="191"/>
      <c r="J114" s="1539"/>
      <c r="K114" s="1540"/>
      <c r="L114" s="1541"/>
      <c r="M114" s="299"/>
      <c r="N114" s="305"/>
      <c r="O114" s="306"/>
      <c r="P114" s="193"/>
      <c r="Q114" s="1609"/>
      <c r="R114" s="1610"/>
      <c r="S114" s="1541"/>
      <c r="T114" s="1540"/>
      <c r="U114" s="1540"/>
      <c r="V114" s="1610"/>
      <c r="W114" s="196"/>
      <c r="X114" s="1612"/>
      <c r="Y114" s="196"/>
      <c r="Z114" s="196"/>
      <c r="AA114" s="196"/>
      <c r="AB114" s="196"/>
      <c r="AC114" s="196"/>
      <c r="AD114" s="196"/>
      <c r="AE114" s="196"/>
      <c r="AF114" s="196"/>
      <c r="AG114" s="196"/>
      <c r="AH114" s="196"/>
      <c r="AI114" s="196"/>
      <c r="AJ114" s="196"/>
      <c r="AK114" s="198"/>
      <c r="AL114" s="198"/>
      <c r="AM114" s="193"/>
      <c r="AN114" s="193"/>
      <c r="AO114" s="193"/>
      <c r="AP114" s="193"/>
      <c r="AQ114" s="199"/>
    </row>
    <row r="115" spans="1:45" s="1165" customFormat="1" ht="62.25" customHeight="1" x14ac:dyDescent="0.2">
      <c r="A115" s="3065"/>
      <c r="B115" s="3151"/>
      <c r="C115" s="3152"/>
      <c r="D115" s="3165"/>
      <c r="E115" s="3165"/>
      <c r="F115" s="3165"/>
      <c r="G115" s="1229"/>
      <c r="H115" s="1547"/>
      <c r="I115" s="1548"/>
      <c r="J115" s="1559">
        <v>236</v>
      </c>
      <c r="K115" s="1557" t="s">
        <v>1444</v>
      </c>
      <c r="L115" s="1557" t="s">
        <v>1445</v>
      </c>
      <c r="M115" s="1559">
        <v>3</v>
      </c>
      <c r="N115" s="3228" t="s">
        <v>1446</v>
      </c>
      <c r="O115" s="3164" t="s">
        <v>1447</v>
      </c>
      <c r="P115" s="3108" t="s">
        <v>1448</v>
      </c>
      <c r="Q115" s="1645">
        <f>SUM(V115)/R115</f>
        <v>0.19316206297083252</v>
      </c>
      <c r="R115" s="3229">
        <f>SUM(V115:V130)</f>
        <v>517700000</v>
      </c>
      <c r="S115" s="3121" t="s">
        <v>1449</v>
      </c>
      <c r="T115" s="3121" t="s">
        <v>1450</v>
      </c>
      <c r="U115" s="1561" t="s">
        <v>1451</v>
      </c>
      <c r="V115" s="1570">
        <v>100000000</v>
      </c>
      <c r="W115" s="1646" t="s">
        <v>61</v>
      </c>
      <c r="X115" s="1559" t="s">
        <v>1373</v>
      </c>
      <c r="Y115" s="3225">
        <v>9110</v>
      </c>
      <c r="Z115" s="3225">
        <v>8787</v>
      </c>
      <c r="AA115" s="3225">
        <v>4273</v>
      </c>
      <c r="AB115" s="3225">
        <v>3599</v>
      </c>
      <c r="AC115" s="3225">
        <v>7463</v>
      </c>
      <c r="AD115" s="3225">
        <v>2562</v>
      </c>
      <c r="AE115" s="3201"/>
      <c r="AF115" s="3201"/>
      <c r="AG115" s="3201"/>
      <c r="AH115" s="3201"/>
      <c r="AI115" s="3201"/>
      <c r="AJ115" s="3201"/>
      <c r="AK115" s="3201"/>
      <c r="AL115" s="3201"/>
      <c r="AM115" s="3201"/>
      <c r="AN115" s="3201">
        <v>17897</v>
      </c>
      <c r="AO115" s="1586">
        <v>43490</v>
      </c>
      <c r="AP115" s="1586">
        <v>43819</v>
      </c>
      <c r="AQ115" s="3208" t="s">
        <v>1347</v>
      </c>
      <c r="AR115" s="1229"/>
      <c r="AS115" s="1229"/>
    </row>
    <row r="116" spans="1:45" s="1165" customFormat="1" ht="37.5" customHeight="1" x14ac:dyDescent="0.2">
      <c r="A116" s="3065"/>
      <c r="B116" s="3151"/>
      <c r="C116" s="3152"/>
      <c r="D116" s="3165"/>
      <c r="E116" s="3165"/>
      <c r="F116" s="3165"/>
      <c r="G116" s="1229"/>
      <c r="H116" s="1554"/>
      <c r="I116" s="1555"/>
      <c r="J116" s="3139">
        <v>237</v>
      </c>
      <c r="K116" s="3167" t="s">
        <v>1452</v>
      </c>
      <c r="L116" s="3122" t="s">
        <v>1453</v>
      </c>
      <c r="M116" s="3232">
        <v>5</v>
      </c>
      <c r="N116" s="3228"/>
      <c r="O116" s="3164"/>
      <c r="P116" s="3108"/>
      <c r="Q116" s="3233">
        <f>SUM(V116:V117)/R115</f>
        <v>4.2205910759126906E-2</v>
      </c>
      <c r="R116" s="3230"/>
      <c r="S116" s="3121"/>
      <c r="T116" s="3121"/>
      <c r="U116" s="1561" t="s">
        <v>1454</v>
      </c>
      <c r="V116" s="1570">
        <v>10000000</v>
      </c>
      <c r="W116" s="1641">
        <v>20</v>
      </c>
      <c r="X116" s="1559" t="s">
        <v>62</v>
      </c>
      <c r="Y116" s="3226"/>
      <c r="Z116" s="3226"/>
      <c r="AA116" s="3226"/>
      <c r="AB116" s="3226"/>
      <c r="AC116" s="3226"/>
      <c r="AD116" s="3226"/>
      <c r="AE116" s="3202"/>
      <c r="AF116" s="3202"/>
      <c r="AG116" s="3202"/>
      <c r="AH116" s="3202"/>
      <c r="AI116" s="3202"/>
      <c r="AJ116" s="3202"/>
      <c r="AK116" s="3202"/>
      <c r="AL116" s="3202"/>
      <c r="AM116" s="3202"/>
      <c r="AN116" s="3202"/>
      <c r="AO116" s="1586">
        <v>43480</v>
      </c>
      <c r="AP116" s="1586">
        <v>43646</v>
      </c>
      <c r="AQ116" s="3116"/>
      <c r="AR116" s="3118"/>
      <c r="AS116" s="1229"/>
    </row>
    <row r="117" spans="1:45" s="1165" customFormat="1" ht="50.25" customHeight="1" x14ac:dyDescent="0.2">
      <c r="A117" s="3065"/>
      <c r="B117" s="3151"/>
      <c r="C117" s="3152"/>
      <c r="D117" s="3165"/>
      <c r="E117" s="3165"/>
      <c r="F117" s="3165"/>
      <c r="G117" s="1229"/>
      <c r="H117" s="1554"/>
      <c r="I117" s="1555"/>
      <c r="J117" s="3139"/>
      <c r="K117" s="3167"/>
      <c r="L117" s="3122"/>
      <c r="M117" s="3232"/>
      <c r="N117" s="3228"/>
      <c r="O117" s="3164"/>
      <c r="P117" s="3108"/>
      <c r="Q117" s="3233"/>
      <c r="R117" s="3230"/>
      <c r="S117" s="3121"/>
      <c r="T117" s="3121"/>
      <c r="U117" s="1561" t="s">
        <v>1455</v>
      </c>
      <c r="V117" s="1570">
        <v>11850000</v>
      </c>
      <c r="W117" s="1641">
        <v>20</v>
      </c>
      <c r="X117" s="1559" t="s">
        <v>62</v>
      </c>
      <c r="Y117" s="3226"/>
      <c r="Z117" s="3226"/>
      <c r="AA117" s="3226"/>
      <c r="AB117" s="3226"/>
      <c r="AC117" s="3226"/>
      <c r="AD117" s="3226"/>
      <c r="AE117" s="3202"/>
      <c r="AF117" s="3202"/>
      <c r="AG117" s="3202"/>
      <c r="AH117" s="3202"/>
      <c r="AI117" s="3202"/>
      <c r="AJ117" s="3202"/>
      <c r="AK117" s="3202"/>
      <c r="AL117" s="3202"/>
      <c r="AM117" s="3202"/>
      <c r="AN117" s="3202"/>
      <c r="AO117" s="1586">
        <v>43485</v>
      </c>
      <c r="AP117" s="1586">
        <v>43610</v>
      </c>
      <c r="AQ117" s="3116"/>
      <c r="AR117" s="3118"/>
      <c r="AS117" s="1229"/>
    </row>
    <row r="118" spans="1:45" s="1165" customFormat="1" ht="42" customHeight="1" x14ac:dyDescent="0.2">
      <c r="A118" s="3065"/>
      <c r="B118" s="3151"/>
      <c r="C118" s="3152"/>
      <c r="D118" s="3165"/>
      <c r="E118" s="3165"/>
      <c r="F118" s="3165"/>
      <c r="G118" s="1229"/>
      <c r="H118" s="1554"/>
      <c r="I118" s="1555"/>
      <c r="J118" s="3139">
        <v>238</v>
      </c>
      <c r="K118" s="3167" t="s">
        <v>1456</v>
      </c>
      <c r="L118" s="3122" t="s">
        <v>1457</v>
      </c>
      <c r="M118" s="3139">
        <v>12</v>
      </c>
      <c r="N118" s="3228"/>
      <c r="O118" s="3164"/>
      <c r="P118" s="3108"/>
      <c r="Q118" s="3224">
        <f>SUM(V118:V122)/R115</f>
        <v>0.14013907668533901</v>
      </c>
      <c r="R118" s="3230"/>
      <c r="S118" s="3121"/>
      <c r="T118" s="3121"/>
      <c r="U118" s="1561" t="s">
        <v>1458</v>
      </c>
      <c r="V118" s="1570">
        <v>23000000</v>
      </c>
      <c r="W118" s="1641">
        <v>20</v>
      </c>
      <c r="X118" s="1559" t="s">
        <v>62</v>
      </c>
      <c r="Y118" s="3226"/>
      <c r="Z118" s="3226"/>
      <c r="AA118" s="3226"/>
      <c r="AB118" s="3226"/>
      <c r="AC118" s="3226"/>
      <c r="AD118" s="3226"/>
      <c r="AE118" s="3202"/>
      <c r="AF118" s="3202"/>
      <c r="AG118" s="3202"/>
      <c r="AH118" s="3202"/>
      <c r="AI118" s="3202"/>
      <c r="AJ118" s="3202"/>
      <c r="AK118" s="3202"/>
      <c r="AL118" s="3202"/>
      <c r="AM118" s="3202"/>
      <c r="AN118" s="3202"/>
      <c r="AO118" s="1586">
        <v>43480</v>
      </c>
      <c r="AP118" s="1586">
        <v>43281</v>
      </c>
      <c r="AQ118" s="3116"/>
      <c r="AR118" s="3118"/>
      <c r="AS118" s="1229"/>
    </row>
    <row r="119" spans="1:45" s="1165" customFormat="1" ht="43.5" customHeight="1" x14ac:dyDescent="0.2">
      <c r="A119" s="3065"/>
      <c r="B119" s="3151"/>
      <c r="C119" s="3152"/>
      <c r="D119" s="3165"/>
      <c r="E119" s="3165"/>
      <c r="F119" s="3165"/>
      <c r="G119" s="1229"/>
      <c r="H119" s="1554"/>
      <c r="I119" s="1555"/>
      <c r="J119" s="3139"/>
      <c r="K119" s="3167"/>
      <c r="L119" s="3122"/>
      <c r="M119" s="3139"/>
      <c r="N119" s="3228"/>
      <c r="O119" s="3164"/>
      <c r="P119" s="3108"/>
      <c r="Q119" s="3224"/>
      <c r="R119" s="3230"/>
      <c r="S119" s="3121"/>
      <c r="T119" s="3121"/>
      <c r="U119" s="1561" t="s">
        <v>1459</v>
      </c>
      <c r="V119" s="1570">
        <v>15550000</v>
      </c>
      <c r="W119" s="1641">
        <v>20</v>
      </c>
      <c r="X119" s="1559" t="s">
        <v>62</v>
      </c>
      <c r="Y119" s="3226"/>
      <c r="Z119" s="3226"/>
      <c r="AA119" s="3226"/>
      <c r="AB119" s="3226"/>
      <c r="AC119" s="3226"/>
      <c r="AD119" s="3226"/>
      <c r="AE119" s="3202"/>
      <c r="AF119" s="3202"/>
      <c r="AG119" s="3202"/>
      <c r="AH119" s="3202"/>
      <c r="AI119" s="3202"/>
      <c r="AJ119" s="3202"/>
      <c r="AK119" s="3202"/>
      <c r="AL119" s="3202"/>
      <c r="AM119" s="3202"/>
      <c r="AN119" s="3202"/>
      <c r="AO119" s="1552">
        <v>43575</v>
      </c>
      <c r="AP119" s="1586">
        <v>43819</v>
      </c>
      <c r="AQ119" s="3116"/>
      <c r="AR119" s="1229"/>
      <c r="AS119" s="1229"/>
    </row>
    <row r="120" spans="1:45" s="1165" customFormat="1" ht="31.5" customHeight="1" x14ac:dyDescent="0.2">
      <c r="A120" s="3065"/>
      <c r="B120" s="3151"/>
      <c r="C120" s="3152"/>
      <c r="D120" s="3165"/>
      <c r="E120" s="3165"/>
      <c r="F120" s="3165"/>
      <c r="G120" s="1229"/>
      <c r="H120" s="1554"/>
      <c r="I120" s="1555"/>
      <c r="J120" s="3139"/>
      <c r="K120" s="3167"/>
      <c r="L120" s="3122"/>
      <c r="M120" s="3139"/>
      <c r="N120" s="3228"/>
      <c r="O120" s="3164"/>
      <c r="P120" s="3108"/>
      <c r="Q120" s="3224"/>
      <c r="R120" s="3230"/>
      <c r="S120" s="3121"/>
      <c r="T120" s="3121"/>
      <c r="U120" s="1561" t="s">
        <v>1460</v>
      </c>
      <c r="V120" s="1570">
        <v>13000000</v>
      </c>
      <c r="W120" s="1641">
        <v>20</v>
      </c>
      <c r="X120" s="1559" t="s">
        <v>62</v>
      </c>
      <c r="Y120" s="3226"/>
      <c r="Z120" s="3226"/>
      <c r="AA120" s="3226"/>
      <c r="AB120" s="3226"/>
      <c r="AC120" s="3226"/>
      <c r="AD120" s="3226"/>
      <c r="AE120" s="3202"/>
      <c r="AF120" s="3202"/>
      <c r="AG120" s="3202"/>
      <c r="AH120" s="3202"/>
      <c r="AI120" s="3202"/>
      <c r="AJ120" s="3202"/>
      <c r="AK120" s="3202"/>
      <c r="AL120" s="3202"/>
      <c r="AM120" s="3202"/>
      <c r="AN120" s="3202"/>
      <c r="AO120" s="1552">
        <v>43595</v>
      </c>
      <c r="AP120" s="1552">
        <v>43692</v>
      </c>
      <c r="AQ120" s="3116"/>
      <c r="AR120" s="1229"/>
      <c r="AS120" s="1229"/>
    </row>
    <row r="121" spans="1:45" s="1165" customFormat="1" ht="27" customHeight="1" x14ac:dyDescent="0.2">
      <c r="A121" s="3065"/>
      <c r="B121" s="3151"/>
      <c r="C121" s="3152"/>
      <c r="D121" s="3165"/>
      <c r="E121" s="3165"/>
      <c r="F121" s="3165"/>
      <c r="G121" s="1229"/>
      <c r="H121" s="1554"/>
      <c r="I121" s="1555"/>
      <c r="J121" s="3139"/>
      <c r="K121" s="3167"/>
      <c r="L121" s="3122"/>
      <c r="M121" s="3139"/>
      <c r="N121" s="3228"/>
      <c r="O121" s="3164"/>
      <c r="P121" s="3108"/>
      <c r="Q121" s="3224"/>
      <c r="R121" s="3230"/>
      <c r="S121" s="3121"/>
      <c r="T121" s="3121"/>
      <c r="U121" s="1561" t="s">
        <v>1461</v>
      </c>
      <c r="V121" s="1570">
        <v>11000000</v>
      </c>
      <c r="W121" s="1641">
        <v>20</v>
      </c>
      <c r="X121" s="1559" t="s">
        <v>62</v>
      </c>
      <c r="Y121" s="3226"/>
      <c r="Z121" s="3226"/>
      <c r="AA121" s="3226"/>
      <c r="AB121" s="3226"/>
      <c r="AC121" s="3226"/>
      <c r="AD121" s="3226"/>
      <c r="AE121" s="3202"/>
      <c r="AF121" s="3202"/>
      <c r="AG121" s="3202"/>
      <c r="AH121" s="3202"/>
      <c r="AI121" s="3202"/>
      <c r="AJ121" s="3202"/>
      <c r="AK121" s="3202"/>
      <c r="AL121" s="3202"/>
      <c r="AM121" s="3202"/>
      <c r="AN121" s="3202"/>
      <c r="AO121" s="1552">
        <v>43565</v>
      </c>
      <c r="AP121" s="1552">
        <v>43723</v>
      </c>
      <c r="AQ121" s="3116"/>
      <c r="AR121" s="1229"/>
      <c r="AS121" s="1229"/>
    </row>
    <row r="122" spans="1:45" s="1165" customFormat="1" ht="28.5" x14ac:dyDescent="0.2">
      <c r="A122" s="3065"/>
      <c r="B122" s="3151"/>
      <c r="C122" s="3152"/>
      <c r="D122" s="3165"/>
      <c r="E122" s="3165"/>
      <c r="F122" s="3165"/>
      <c r="G122" s="1229"/>
      <c r="H122" s="1554"/>
      <c r="I122" s="1555"/>
      <c r="J122" s="3139"/>
      <c r="K122" s="3167"/>
      <c r="L122" s="3122"/>
      <c r="M122" s="3139"/>
      <c r="N122" s="3228"/>
      <c r="O122" s="3164"/>
      <c r="P122" s="3108"/>
      <c r="Q122" s="3224"/>
      <c r="R122" s="3230"/>
      <c r="S122" s="3121"/>
      <c r="T122" s="3121"/>
      <c r="U122" s="1561" t="s">
        <v>1462</v>
      </c>
      <c r="V122" s="1570">
        <f>8800000+1200000</f>
        <v>10000000</v>
      </c>
      <c r="W122" s="1641">
        <v>20</v>
      </c>
      <c r="X122" s="1559" t="s">
        <v>62</v>
      </c>
      <c r="Y122" s="3226"/>
      <c r="Z122" s="3226"/>
      <c r="AA122" s="3226"/>
      <c r="AB122" s="3226"/>
      <c r="AC122" s="3226"/>
      <c r="AD122" s="3226"/>
      <c r="AE122" s="3202"/>
      <c r="AF122" s="3202"/>
      <c r="AG122" s="3202"/>
      <c r="AH122" s="3202"/>
      <c r="AI122" s="3202"/>
      <c r="AJ122" s="3202"/>
      <c r="AK122" s="3202"/>
      <c r="AL122" s="3202"/>
      <c r="AM122" s="3202"/>
      <c r="AN122" s="3202"/>
      <c r="AO122" s="1552">
        <v>43595</v>
      </c>
      <c r="AP122" s="1552">
        <v>43687</v>
      </c>
      <c r="AQ122" s="3116"/>
      <c r="AR122" s="1229"/>
      <c r="AS122" s="1229"/>
    </row>
    <row r="123" spans="1:45" s="1165" customFormat="1" ht="56.25" customHeight="1" x14ac:dyDescent="0.2">
      <c r="A123" s="3065"/>
      <c r="B123" s="3151"/>
      <c r="C123" s="3152"/>
      <c r="D123" s="3165"/>
      <c r="E123" s="3165"/>
      <c r="F123" s="3165"/>
      <c r="G123" s="1229"/>
      <c r="H123" s="1554"/>
      <c r="I123" s="1555"/>
      <c r="J123" s="1647">
        <v>239</v>
      </c>
      <c r="K123" s="1648" t="s">
        <v>1463</v>
      </c>
      <c r="L123" s="1596" t="s">
        <v>1464</v>
      </c>
      <c r="M123" s="1649">
        <v>1.98</v>
      </c>
      <c r="N123" s="3228"/>
      <c r="O123" s="3164"/>
      <c r="P123" s="3108"/>
      <c r="Q123" s="1650">
        <f>SUM(V123)/R115</f>
        <v>0.14448522310218273</v>
      </c>
      <c r="R123" s="3230"/>
      <c r="S123" s="3121"/>
      <c r="T123" s="3121"/>
      <c r="U123" s="1651" t="s">
        <v>1465</v>
      </c>
      <c r="V123" s="1570">
        <v>74800000</v>
      </c>
      <c r="W123" s="1641">
        <v>20</v>
      </c>
      <c r="X123" s="1559" t="s">
        <v>62</v>
      </c>
      <c r="Y123" s="3226"/>
      <c r="Z123" s="3226"/>
      <c r="AA123" s="3226"/>
      <c r="AB123" s="3226"/>
      <c r="AC123" s="3226"/>
      <c r="AD123" s="3226"/>
      <c r="AE123" s="3202"/>
      <c r="AF123" s="3202"/>
      <c r="AG123" s="3202"/>
      <c r="AH123" s="3202"/>
      <c r="AI123" s="3202"/>
      <c r="AJ123" s="3202"/>
      <c r="AK123" s="3202"/>
      <c r="AL123" s="3202"/>
      <c r="AM123" s="3202"/>
      <c r="AN123" s="3202"/>
      <c r="AO123" s="1552">
        <v>43600</v>
      </c>
      <c r="AP123" s="1552">
        <v>43661</v>
      </c>
      <c r="AQ123" s="3116"/>
      <c r="AR123" s="1229"/>
      <c r="AS123" s="1229"/>
    </row>
    <row r="124" spans="1:45" s="1165" customFormat="1" ht="30" customHeight="1" x14ac:dyDescent="0.2">
      <c r="A124" s="3065"/>
      <c r="B124" s="3151"/>
      <c r="C124" s="3152"/>
      <c r="D124" s="3165"/>
      <c r="E124" s="3165"/>
      <c r="F124" s="3165"/>
      <c r="G124" s="1229"/>
      <c r="H124" s="1554"/>
      <c r="I124" s="1555"/>
      <c r="J124" s="3139">
        <v>240</v>
      </c>
      <c r="K124" s="3167" t="s">
        <v>1466</v>
      </c>
      <c r="L124" s="3234" t="s">
        <v>1467</v>
      </c>
      <c r="M124" s="3139">
        <v>1</v>
      </c>
      <c r="N124" s="3228"/>
      <c r="O124" s="3164"/>
      <c r="P124" s="3108"/>
      <c r="Q124" s="3224">
        <f>SUM(V124:V130)/R115</f>
        <v>0.48000772648251883</v>
      </c>
      <c r="R124" s="3230"/>
      <c r="S124" s="3121"/>
      <c r="T124" s="3121"/>
      <c r="U124" s="1651" t="s">
        <v>1468</v>
      </c>
      <c r="V124" s="1570">
        <v>10000000</v>
      </c>
      <c r="W124" s="1641">
        <v>20</v>
      </c>
      <c r="X124" s="1559" t="s">
        <v>62</v>
      </c>
      <c r="Y124" s="3226"/>
      <c r="Z124" s="3226"/>
      <c r="AA124" s="3226"/>
      <c r="AB124" s="3226"/>
      <c r="AC124" s="3226"/>
      <c r="AD124" s="3226"/>
      <c r="AE124" s="3202"/>
      <c r="AF124" s="3202"/>
      <c r="AG124" s="3202"/>
      <c r="AH124" s="3202"/>
      <c r="AI124" s="3202"/>
      <c r="AJ124" s="3202"/>
      <c r="AK124" s="3202"/>
      <c r="AL124" s="3202"/>
      <c r="AM124" s="3202"/>
      <c r="AN124" s="3202"/>
      <c r="AO124" s="1552">
        <v>43534</v>
      </c>
      <c r="AP124" s="1552">
        <v>43615</v>
      </c>
      <c r="AQ124" s="3116"/>
      <c r="AR124" s="1229"/>
      <c r="AS124" s="1229"/>
    </row>
    <row r="125" spans="1:45" s="1165" customFormat="1" ht="32.25" customHeight="1" x14ac:dyDescent="0.2">
      <c r="A125" s="3065"/>
      <c r="B125" s="3151"/>
      <c r="C125" s="3152"/>
      <c r="D125" s="3165"/>
      <c r="E125" s="3165"/>
      <c r="F125" s="3165"/>
      <c r="G125" s="1229"/>
      <c r="H125" s="1554"/>
      <c r="I125" s="1555"/>
      <c r="J125" s="3139"/>
      <c r="K125" s="3167"/>
      <c r="L125" s="3234"/>
      <c r="M125" s="3139"/>
      <c r="N125" s="3228"/>
      <c r="O125" s="3164"/>
      <c r="P125" s="3108"/>
      <c r="Q125" s="3224"/>
      <c r="R125" s="3230"/>
      <c r="S125" s="3121"/>
      <c r="T125" s="3121"/>
      <c r="U125" s="1651" t="s">
        <v>1469</v>
      </c>
      <c r="V125" s="1570">
        <v>45000000</v>
      </c>
      <c r="W125" s="1641">
        <v>20</v>
      </c>
      <c r="X125" s="1559" t="s">
        <v>62</v>
      </c>
      <c r="Y125" s="3226"/>
      <c r="Z125" s="3226"/>
      <c r="AA125" s="3226"/>
      <c r="AB125" s="3226"/>
      <c r="AC125" s="3226"/>
      <c r="AD125" s="3226"/>
      <c r="AE125" s="3202"/>
      <c r="AF125" s="3202"/>
      <c r="AG125" s="3202"/>
      <c r="AH125" s="3202"/>
      <c r="AI125" s="3202"/>
      <c r="AJ125" s="3202"/>
      <c r="AK125" s="3202"/>
      <c r="AL125" s="3202"/>
      <c r="AM125" s="3202"/>
      <c r="AN125" s="3202"/>
      <c r="AO125" s="1552">
        <v>43480</v>
      </c>
      <c r="AP125" s="1552">
        <v>43646</v>
      </c>
      <c r="AQ125" s="3116"/>
      <c r="AR125" s="1229"/>
      <c r="AS125" s="1229"/>
    </row>
    <row r="126" spans="1:45" s="1165" customFormat="1" ht="37.5" customHeight="1" x14ac:dyDescent="0.2">
      <c r="A126" s="3065"/>
      <c r="B126" s="3151"/>
      <c r="C126" s="3152"/>
      <c r="D126" s="3165"/>
      <c r="E126" s="3165"/>
      <c r="F126" s="3165"/>
      <c r="G126" s="1229"/>
      <c r="H126" s="1554"/>
      <c r="I126" s="1555"/>
      <c r="J126" s="3139"/>
      <c r="K126" s="3167"/>
      <c r="L126" s="3234"/>
      <c r="M126" s="3139"/>
      <c r="N126" s="3228"/>
      <c r="O126" s="3164"/>
      <c r="P126" s="3108"/>
      <c r="Q126" s="3224"/>
      <c r="R126" s="3230"/>
      <c r="S126" s="3121"/>
      <c r="T126" s="3121"/>
      <c r="U126" s="1651" t="s">
        <v>1470</v>
      </c>
      <c r="V126" s="1570">
        <v>40000000</v>
      </c>
      <c r="W126" s="1641">
        <v>20</v>
      </c>
      <c r="X126" s="1559" t="s">
        <v>62</v>
      </c>
      <c r="Y126" s="3226"/>
      <c r="Z126" s="3226"/>
      <c r="AA126" s="3226"/>
      <c r="AB126" s="3226"/>
      <c r="AC126" s="3226"/>
      <c r="AD126" s="3226"/>
      <c r="AE126" s="3202"/>
      <c r="AF126" s="3202"/>
      <c r="AG126" s="3202"/>
      <c r="AH126" s="3202"/>
      <c r="AI126" s="3202"/>
      <c r="AJ126" s="3202"/>
      <c r="AK126" s="3202"/>
      <c r="AL126" s="3202"/>
      <c r="AM126" s="3202"/>
      <c r="AN126" s="3202"/>
      <c r="AO126" s="1552">
        <v>43480</v>
      </c>
      <c r="AP126" s="1552">
        <v>43646</v>
      </c>
      <c r="AQ126" s="3116"/>
      <c r="AR126" s="1229"/>
      <c r="AS126" s="1229"/>
    </row>
    <row r="127" spans="1:45" s="1165" customFormat="1" ht="33.75" customHeight="1" x14ac:dyDescent="0.2">
      <c r="A127" s="3065"/>
      <c r="B127" s="3151"/>
      <c r="C127" s="3152"/>
      <c r="D127" s="3165"/>
      <c r="E127" s="3165"/>
      <c r="F127" s="3165"/>
      <c r="G127" s="1229"/>
      <c r="H127" s="1554"/>
      <c r="I127" s="1555"/>
      <c r="J127" s="3139"/>
      <c r="K127" s="3167"/>
      <c r="L127" s="3234"/>
      <c r="M127" s="3139"/>
      <c r="N127" s="3228"/>
      <c r="O127" s="3164"/>
      <c r="P127" s="3108"/>
      <c r="Q127" s="3224"/>
      <c r="R127" s="3230"/>
      <c r="S127" s="3121"/>
      <c r="T127" s="3121"/>
      <c r="U127" s="1651" t="s">
        <v>1471</v>
      </c>
      <c r="V127" s="1570">
        <v>53000000</v>
      </c>
      <c r="W127" s="1641">
        <v>20</v>
      </c>
      <c r="X127" s="1559" t="s">
        <v>62</v>
      </c>
      <c r="Y127" s="3226"/>
      <c r="Z127" s="3226"/>
      <c r="AA127" s="3226"/>
      <c r="AB127" s="3226"/>
      <c r="AC127" s="3226"/>
      <c r="AD127" s="3226"/>
      <c r="AE127" s="3202"/>
      <c r="AF127" s="3202"/>
      <c r="AG127" s="3202"/>
      <c r="AH127" s="3202"/>
      <c r="AI127" s="3202"/>
      <c r="AJ127" s="3202"/>
      <c r="AK127" s="3202"/>
      <c r="AL127" s="3202"/>
      <c r="AM127" s="3202"/>
      <c r="AN127" s="3202"/>
      <c r="AO127" s="1552">
        <v>43480</v>
      </c>
      <c r="AP127" s="1552">
        <v>43799</v>
      </c>
      <c r="AQ127" s="3116"/>
      <c r="AR127" s="1229"/>
      <c r="AS127" s="1229"/>
    </row>
    <row r="128" spans="1:45" s="1165" customFormat="1" ht="30" customHeight="1" x14ac:dyDescent="0.2">
      <c r="A128" s="3065"/>
      <c r="B128" s="3151"/>
      <c r="C128" s="3152"/>
      <c r="D128" s="3165"/>
      <c r="E128" s="3165"/>
      <c r="F128" s="3165"/>
      <c r="G128" s="1229"/>
      <c r="H128" s="1554"/>
      <c r="I128" s="1555"/>
      <c r="J128" s="3139"/>
      <c r="K128" s="3167"/>
      <c r="L128" s="3234"/>
      <c r="M128" s="3139"/>
      <c r="N128" s="3228"/>
      <c r="O128" s="3164"/>
      <c r="P128" s="3108"/>
      <c r="Q128" s="3224"/>
      <c r="R128" s="3230"/>
      <c r="S128" s="3121"/>
      <c r="T128" s="3121"/>
      <c r="U128" s="1651" t="s">
        <v>1472</v>
      </c>
      <c r="V128" s="1570">
        <v>50000000</v>
      </c>
      <c r="W128" s="1641">
        <v>20</v>
      </c>
      <c r="X128" s="1559" t="s">
        <v>62</v>
      </c>
      <c r="Y128" s="3226"/>
      <c r="Z128" s="3226"/>
      <c r="AA128" s="3226"/>
      <c r="AB128" s="3226"/>
      <c r="AC128" s="3226"/>
      <c r="AD128" s="3226"/>
      <c r="AE128" s="3202"/>
      <c r="AF128" s="3202"/>
      <c r="AG128" s="3202"/>
      <c r="AH128" s="3202"/>
      <c r="AI128" s="3202"/>
      <c r="AJ128" s="3202"/>
      <c r="AK128" s="3202"/>
      <c r="AL128" s="3202"/>
      <c r="AM128" s="3202"/>
      <c r="AN128" s="3202"/>
      <c r="AO128" s="1552">
        <v>43480</v>
      </c>
      <c r="AP128" s="1552">
        <v>43799</v>
      </c>
      <c r="AQ128" s="3116"/>
      <c r="AR128" s="1229"/>
      <c r="AS128" s="1229"/>
    </row>
    <row r="129" spans="1:45" s="1165" customFormat="1" ht="47.25" customHeight="1" x14ac:dyDescent="0.2">
      <c r="A129" s="3065"/>
      <c r="B129" s="3151"/>
      <c r="C129" s="3152"/>
      <c r="D129" s="3165"/>
      <c r="E129" s="3165"/>
      <c r="F129" s="3165"/>
      <c r="G129" s="1229"/>
      <c r="H129" s="1554"/>
      <c r="I129" s="1555"/>
      <c r="J129" s="3139"/>
      <c r="K129" s="3167"/>
      <c r="L129" s="3234"/>
      <c r="M129" s="3139"/>
      <c r="N129" s="3228"/>
      <c r="O129" s="3164"/>
      <c r="P129" s="3108"/>
      <c r="Q129" s="3224"/>
      <c r="R129" s="3230"/>
      <c r="S129" s="3121"/>
      <c r="T129" s="3121"/>
      <c r="U129" s="1651" t="s">
        <v>1473</v>
      </c>
      <c r="V129" s="1570">
        <v>35500000</v>
      </c>
      <c r="W129" s="1641">
        <v>20</v>
      </c>
      <c r="X129" s="1559" t="s">
        <v>62</v>
      </c>
      <c r="Y129" s="3226"/>
      <c r="Z129" s="3226"/>
      <c r="AA129" s="3226"/>
      <c r="AB129" s="3226"/>
      <c r="AC129" s="3226"/>
      <c r="AD129" s="3226"/>
      <c r="AE129" s="3202"/>
      <c r="AF129" s="3202"/>
      <c r="AG129" s="3202"/>
      <c r="AH129" s="3202"/>
      <c r="AI129" s="3202"/>
      <c r="AJ129" s="3202"/>
      <c r="AK129" s="3202"/>
      <c r="AL129" s="3202"/>
      <c r="AM129" s="3202"/>
      <c r="AN129" s="3202"/>
      <c r="AO129" s="1552">
        <v>43480</v>
      </c>
      <c r="AP129" s="1552">
        <v>43799</v>
      </c>
      <c r="AQ129" s="3116"/>
      <c r="AR129" s="1229"/>
      <c r="AS129" s="1229"/>
    </row>
    <row r="130" spans="1:45" s="1165" customFormat="1" ht="27" customHeight="1" x14ac:dyDescent="0.2">
      <c r="A130" s="3065"/>
      <c r="B130" s="3151"/>
      <c r="C130" s="3152"/>
      <c r="D130" s="3165"/>
      <c r="E130" s="3165"/>
      <c r="F130" s="3165"/>
      <c r="G130" s="1229"/>
      <c r="H130" s="1573"/>
      <c r="I130" s="1574"/>
      <c r="J130" s="3139"/>
      <c r="K130" s="3167"/>
      <c r="L130" s="3234"/>
      <c r="M130" s="3139"/>
      <c r="N130" s="3228"/>
      <c r="O130" s="3164"/>
      <c r="P130" s="3108"/>
      <c r="Q130" s="3224"/>
      <c r="R130" s="3231"/>
      <c r="S130" s="3121"/>
      <c r="T130" s="3121"/>
      <c r="U130" s="1651" t="s">
        <v>1316</v>
      </c>
      <c r="V130" s="1570">
        <v>15000000</v>
      </c>
      <c r="W130" s="1641">
        <v>20</v>
      </c>
      <c r="X130" s="1559" t="s">
        <v>62</v>
      </c>
      <c r="Y130" s="3227"/>
      <c r="Z130" s="3227"/>
      <c r="AA130" s="3227"/>
      <c r="AB130" s="3227"/>
      <c r="AC130" s="3227"/>
      <c r="AD130" s="3227"/>
      <c r="AE130" s="3202"/>
      <c r="AF130" s="3202"/>
      <c r="AG130" s="3202"/>
      <c r="AH130" s="3202"/>
      <c r="AI130" s="3202"/>
      <c r="AJ130" s="3202"/>
      <c r="AK130" s="3202"/>
      <c r="AL130" s="3202"/>
      <c r="AM130" s="3202"/>
      <c r="AN130" s="3202"/>
      <c r="AO130" s="1552">
        <v>43539</v>
      </c>
      <c r="AP130" s="1552">
        <v>43819</v>
      </c>
      <c r="AQ130" s="3116"/>
      <c r="AR130" s="1229"/>
      <c r="AS130" s="1229"/>
    </row>
    <row r="131" spans="1:45" s="1229" customFormat="1" ht="15" customHeight="1" x14ac:dyDescent="0.2">
      <c r="A131" s="3065"/>
      <c r="B131" s="3151"/>
      <c r="C131" s="3152"/>
      <c r="D131" s="3165"/>
      <c r="E131" s="3165"/>
      <c r="F131" s="3165"/>
      <c r="G131" s="1538">
        <v>82</v>
      </c>
      <c r="H131" s="191" t="s">
        <v>1474</v>
      </c>
      <c r="I131" s="191"/>
      <c r="J131" s="1576"/>
      <c r="K131" s="1577"/>
      <c r="L131" s="1578"/>
      <c r="M131" s="1579"/>
      <c r="N131" s="305"/>
      <c r="O131" s="306"/>
      <c r="P131" s="193"/>
      <c r="Q131" s="1580"/>
      <c r="R131" s="1581"/>
      <c r="S131" s="1578"/>
      <c r="T131" s="1577"/>
      <c r="U131" s="1577"/>
      <c r="V131" s="1581"/>
      <c r="W131" s="196"/>
      <c r="X131" s="1612"/>
      <c r="Y131" s="196"/>
      <c r="Z131" s="196"/>
      <c r="AA131" s="196"/>
      <c r="AB131" s="196"/>
      <c r="AC131" s="196"/>
      <c r="AD131" s="196"/>
      <c r="AE131" s="196"/>
      <c r="AF131" s="196"/>
      <c r="AG131" s="196"/>
      <c r="AH131" s="196"/>
      <c r="AI131" s="196"/>
      <c r="AJ131" s="196"/>
      <c r="AK131" s="196"/>
      <c r="AL131" s="196"/>
      <c r="AM131" s="193"/>
      <c r="AN131" s="193"/>
      <c r="AO131" s="193"/>
      <c r="AP131" s="193"/>
      <c r="AQ131" s="199"/>
    </row>
    <row r="132" spans="1:45" s="1165" customFormat="1" ht="46.5" customHeight="1" x14ac:dyDescent="0.2">
      <c r="A132" s="3065"/>
      <c r="B132" s="3151"/>
      <c r="C132" s="3152"/>
      <c r="D132" s="3165"/>
      <c r="E132" s="3165"/>
      <c r="F132" s="3165"/>
      <c r="G132" s="1229"/>
      <c r="H132" s="1547"/>
      <c r="I132" s="1548"/>
      <c r="J132" s="3139">
        <v>241</v>
      </c>
      <c r="K132" s="3167" t="s">
        <v>1475</v>
      </c>
      <c r="L132" s="3122" t="s">
        <v>1476</v>
      </c>
      <c r="M132" s="3223">
        <v>1</v>
      </c>
      <c r="N132" s="3213" t="s">
        <v>1477</v>
      </c>
      <c r="O132" s="3164" t="s">
        <v>1478</v>
      </c>
      <c r="P132" s="3108" t="s">
        <v>1479</v>
      </c>
      <c r="Q132" s="3233">
        <f>SUM(V132:V133)/R132</f>
        <v>0.35340082775249587</v>
      </c>
      <c r="R132" s="3216">
        <f>SUM(V132:V135)</f>
        <v>84323515</v>
      </c>
      <c r="S132" s="3121" t="s">
        <v>1480</v>
      </c>
      <c r="T132" s="3121" t="s">
        <v>1481</v>
      </c>
      <c r="U132" s="1652" t="s">
        <v>1482</v>
      </c>
      <c r="V132" s="1570">
        <v>9800000</v>
      </c>
      <c r="W132" s="1646" t="s">
        <v>61</v>
      </c>
      <c r="X132" s="1559" t="s">
        <v>1373</v>
      </c>
      <c r="Y132" s="3201">
        <v>1632</v>
      </c>
      <c r="Z132" s="3201">
        <v>1568</v>
      </c>
      <c r="AA132" s="3201">
        <v>974</v>
      </c>
      <c r="AB132" s="3201">
        <v>718</v>
      </c>
      <c r="AC132" s="3201">
        <v>410</v>
      </c>
      <c r="AD132" s="3201">
        <v>1098</v>
      </c>
      <c r="AE132" s="3201"/>
      <c r="AF132" s="3201"/>
      <c r="AG132" s="3201"/>
      <c r="AH132" s="3201"/>
      <c r="AI132" s="3201"/>
      <c r="AJ132" s="3201"/>
      <c r="AK132" s="3201"/>
      <c r="AL132" s="3201"/>
      <c r="AM132" s="3201"/>
      <c r="AN132" s="3201">
        <f>+Y132+Z132</f>
        <v>3200</v>
      </c>
      <c r="AO132" s="1586">
        <v>43656</v>
      </c>
      <c r="AP132" s="1586">
        <v>43723</v>
      </c>
      <c r="AQ132" s="3208" t="s">
        <v>1299</v>
      </c>
      <c r="AR132" s="1229"/>
      <c r="AS132" s="1229"/>
    </row>
    <row r="133" spans="1:45" s="1165" customFormat="1" ht="45.75" customHeight="1" x14ac:dyDescent="0.2">
      <c r="A133" s="3065"/>
      <c r="B133" s="3151"/>
      <c r="C133" s="3152"/>
      <c r="D133" s="3165"/>
      <c r="E133" s="3165"/>
      <c r="F133" s="3165"/>
      <c r="G133" s="1229"/>
      <c r="H133" s="1554"/>
      <c r="I133" s="1555"/>
      <c r="J133" s="3139"/>
      <c r="K133" s="3167"/>
      <c r="L133" s="3122"/>
      <c r="M133" s="3223"/>
      <c r="N133" s="3213"/>
      <c r="O133" s="3164"/>
      <c r="P133" s="3108"/>
      <c r="Q133" s="3233"/>
      <c r="R133" s="3217"/>
      <c r="S133" s="3121"/>
      <c r="T133" s="3121"/>
      <c r="U133" s="1651" t="s">
        <v>1483</v>
      </c>
      <c r="V133" s="1570">
        <v>20000000</v>
      </c>
      <c r="W133" s="1641">
        <v>20</v>
      </c>
      <c r="X133" s="1559" t="s">
        <v>62</v>
      </c>
      <c r="Y133" s="3202"/>
      <c r="Z133" s="3202"/>
      <c r="AA133" s="3202"/>
      <c r="AB133" s="3202"/>
      <c r="AC133" s="3202"/>
      <c r="AD133" s="3202"/>
      <c r="AE133" s="3202"/>
      <c r="AF133" s="3202"/>
      <c r="AG133" s="3202"/>
      <c r="AH133" s="3202"/>
      <c r="AI133" s="3202"/>
      <c r="AJ133" s="3202"/>
      <c r="AK133" s="3202"/>
      <c r="AL133" s="3202"/>
      <c r="AM133" s="3202"/>
      <c r="AN133" s="3202"/>
      <c r="AO133" s="1626">
        <v>43480</v>
      </c>
      <c r="AP133" s="1626">
        <v>43646</v>
      </c>
      <c r="AQ133" s="3219"/>
      <c r="AR133" s="3118"/>
      <c r="AS133" s="1229"/>
    </row>
    <row r="134" spans="1:45" s="1165" customFormat="1" ht="40.5" customHeight="1" x14ac:dyDescent="0.2">
      <c r="A134" s="3065"/>
      <c r="B134" s="3151"/>
      <c r="C134" s="3152"/>
      <c r="D134" s="3165"/>
      <c r="E134" s="3165"/>
      <c r="F134" s="3165"/>
      <c r="G134" s="1229"/>
      <c r="H134" s="1554"/>
      <c r="I134" s="1555"/>
      <c r="J134" s="3101">
        <v>242</v>
      </c>
      <c r="K134" s="3235" t="s">
        <v>1484</v>
      </c>
      <c r="L134" s="3237" t="s">
        <v>1485</v>
      </c>
      <c r="M134" s="3239">
        <v>1</v>
      </c>
      <c r="N134" s="3213"/>
      <c r="O134" s="3164"/>
      <c r="P134" s="3108"/>
      <c r="Q134" s="3233">
        <f>SUM(V134:V135)/R132</f>
        <v>0.64659917224750418</v>
      </c>
      <c r="R134" s="3217"/>
      <c r="S134" s="3121"/>
      <c r="T134" s="3121"/>
      <c r="U134" s="1651" t="s">
        <v>1486</v>
      </c>
      <c r="V134" s="1570">
        <v>10000000</v>
      </c>
      <c r="W134" s="1641">
        <v>20</v>
      </c>
      <c r="X134" s="1559" t="s">
        <v>62</v>
      </c>
      <c r="Y134" s="3202"/>
      <c r="Z134" s="3202"/>
      <c r="AA134" s="3202"/>
      <c r="AB134" s="3202"/>
      <c r="AC134" s="3202"/>
      <c r="AD134" s="3202"/>
      <c r="AE134" s="3202"/>
      <c r="AF134" s="3202"/>
      <c r="AG134" s="3202"/>
      <c r="AH134" s="3202"/>
      <c r="AI134" s="3202"/>
      <c r="AJ134" s="3202"/>
      <c r="AK134" s="3202"/>
      <c r="AL134" s="3202"/>
      <c r="AM134" s="3202"/>
      <c r="AN134" s="3202"/>
      <c r="AO134" s="1626">
        <v>43480</v>
      </c>
      <c r="AP134" s="1626">
        <v>43646</v>
      </c>
      <c r="AQ134" s="3219"/>
      <c r="AR134" s="3118"/>
      <c r="AS134" s="1229"/>
    </row>
    <row r="135" spans="1:45" s="1165" customFormat="1" ht="36.75" customHeight="1" x14ac:dyDescent="0.2">
      <c r="A135" s="3065"/>
      <c r="B135" s="3151"/>
      <c r="C135" s="3152"/>
      <c r="D135" s="3165"/>
      <c r="E135" s="3165"/>
      <c r="F135" s="3165"/>
      <c r="G135" s="1229"/>
      <c r="H135" s="1573"/>
      <c r="I135" s="1574"/>
      <c r="J135" s="3102"/>
      <c r="K135" s="3236"/>
      <c r="L135" s="3238"/>
      <c r="M135" s="3240"/>
      <c r="N135" s="3213"/>
      <c r="O135" s="3164"/>
      <c r="P135" s="3108"/>
      <c r="Q135" s="3233"/>
      <c r="R135" s="3218"/>
      <c r="S135" s="3121"/>
      <c r="T135" s="3121"/>
      <c r="U135" s="1651" t="s">
        <v>1487</v>
      </c>
      <c r="V135" s="1570">
        <v>44523515</v>
      </c>
      <c r="W135" s="1641">
        <v>20</v>
      </c>
      <c r="X135" s="1559" t="s">
        <v>62</v>
      </c>
      <c r="Y135" s="3202"/>
      <c r="Z135" s="3202"/>
      <c r="AA135" s="3202"/>
      <c r="AB135" s="3202"/>
      <c r="AC135" s="3202"/>
      <c r="AD135" s="3202"/>
      <c r="AE135" s="3202"/>
      <c r="AF135" s="3202"/>
      <c r="AG135" s="3202"/>
      <c r="AH135" s="3202"/>
      <c r="AI135" s="3202"/>
      <c r="AJ135" s="3202"/>
      <c r="AK135" s="3202"/>
      <c r="AL135" s="3202"/>
      <c r="AM135" s="3202"/>
      <c r="AN135" s="3202"/>
      <c r="AO135" s="1626">
        <v>43539</v>
      </c>
      <c r="AP135" s="1626">
        <v>43819</v>
      </c>
      <c r="AQ135" s="3219"/>
      <c r="AR135" s="3118"/>
      <c r="AS135" s="1229"/>
    </row>
    <row r="136" spans="1:45" s="1229" customFormat="1" ht="15" customHeight="1" x14ac:dyDescent="0.2">
      <c r="A136" s="3065"/>
      <c r="B136" s="3151"/>
      <c r="C136" s="3152"/>
      <c r="D136" s="1599">
        <v>27</v>
      </c>
      <c r="E136" s="1653" t="s">
        <v>1488</v>
      </c>
      <c r="F136" s="1653"/>
      <c r="G136" s="1654"/>
      <c r="H136" s="1654"/>
      <c r="I136" s="1528"/>
      <c r="J136" s="1601"/>
      <c r="K136" s="1602"/>
      <c r="L136" s="1603"/>
      <c r="M136" s="1604"/>
      <c r="N136" s="1532"/>
      <c r="O136" s="1529"/>
      <c r="P136" s="1531"/>
      <c r="Q136" s="1605"/>
      <c r="R136" s="1606"/>
      <c r="S136" s="1603"/>
      <c r="T136" s="1602"/>
      <c r="U136" s="1602"/>
      <c r="V136" s="1606"/>
      <c r="W136" s="1531"/>
      <c r="X136" s="1531"/>
      <c r="Y136" s="1531"/>
      <c r="Z136" s="1531"/>
      <c r="AA136" s="1531"/>
      <c r="AB136" s="1531"/>
      <c r="AC136" s="1531"/>
      <c r="AD136" s="1531"/>
      <c r="AE136" s="1531"/>
      <c r="AF136" s="1531"/>
      <c r="AG136" s="1531"/>
      <c r="AH136" s="1531"/>
      <c r="AI136" s="1531"/>
      <c r="AJ136" s="1531"/>
      <c r="AK136" s="1531"/>
      <c r="AL136" s="1531"/>
      <c r="AM136" s="1531"/>
      <c r="AN136" s="1531"/>
      <c r="AO136" s="1531"/>
      <c r="AP136" s="1531"/>
      <c r="AQ136" s="1537"/>
    </row>
    <row r="137" spans="1:45" s="1229" customFormat="1" ht="15" customHeight="1" x14ac:dyDescent="0.2">
      <c r="A137" s="3065"/>
      <c r="B137" s="3151"/>
      <c r="C137" s="3152"/>
      <c r="D137" s="3241"/>
      <c r="E137" s="3242"/>
      <c r="F137" s="3243"/>
      <c r="G137" s="1538">
        <v>85</v>
      </c>
      <c r="H137" s="191" t="s">
        <v>1489</v>
      </c>
      <c r="I137" s="191"/>
      <c r="J137" s="1539"/>
      <c r="K137" s="1540"/>
      <c r="L137" s="1541"/>
      <c r="M137" s="299"/>
      <c r="N137" s="305"/>
      <c r="O137" s="306"/>
      <c r="P137" s="193"/>
      <c r="Q137" s="1609"/>
      <c r="R137" s="1610"/>
      <c r="S137" s="1541"/>
      <c r="T137" s="1540"/>
      <c r="U137" s="1540"/>
      <c r="V137" s="1610"/>
      <c r="W137" s="196"/>
      <c r="X137" s="1612"/>
      <c r="Y137" s="196"/>
      <c r="Z137" s="196"/>
      <c r="AA137" s="196"/>
      <c r="AB137" s="196"/>
      <c r="AC137" s="196"/>
      <c r="AD137" s="196"/>
      <c r="AE137" s="196"/>
      <c r="AF137" s="196"/>
      <c r="AG137" s="196"/>
      <c r="AH137" s="196"/>
      <c r="AI137" s="196"/>
      <c r="AJ137" s="196"/>
      <c r="AK137" s="196"/>
      <c r="AL137" s="196"/>
      <c r="AM137" s="196"/>
      <c r="AN137" s="196"/>
      <c r="AO137" s="196"/>
      <c r="AP137" s="196"/>
      <c r="AQ137" s="1613"/>
    </row>
    <row r="138" spans="1:45" s="1165" customFormat="1" ht="24.75" customHeight="1" x14ac:dyDescent="0.2">
      <c r="A138" s="3065"/>
      <c r="B138" s="3151"/>
      <c r="C138" s="3152"/>
      <c r="D138" s="3244"/>
      <c r="E138" s="3245"/>
      <c r="F138" s="3246"/>
      <c r="G138" s="1229"/>
      <c r="H138" s="1547"/>
      <c r="I138" s="1548"/>
      <c r="J138" s="3239">
        <v>250</v>
      </c>
      <c r="K138" s="3080" t="s">
        <v>1490</v>
      </c>
      <c r="L138" s="3251" t="s">
        <v>1491</v>
      </c>
      <c r="M138" s="3239">
        <v>3</v>
      </c>
      <c r="N138" s="3174" t="s">
        <v>1492</v>
      </c>
      <c r="O138" s="3214" t="s">
        <v>1493</v>
      </c>
      <c r="P138" s="3174" t="s">
        <v>1494</v>
      </c>
      <c r="Q138" s="3257">
        <f>SUM(V138:V151)/R138</f>
        <v>0.50827490823121779</v>
      </c>
      <c r="R138" s="3216">
        <f>SUM(V138:V164)</f>
        <v>700271633</v>
      </c>
      <c r="S138" s="3080" t="s">
        <v>1495</v>
      </c>
      <c r="T138" s="3174" t="s">
        <v>1496</v>
      </c>
      <c r="U138" s="3254" t="s">
        <v>1497</v>
      </c>
      <c r="V138" s="1570">
        <v>65420000</v>
      </c>
      <c r="W138" s="1655">
        <v>20</v>
      </c>
      <c r="X138" s="1656" t="s">
        <v>1373</v>
      </c>
      <c r="Y138" s="3225">
        <v>5202</v>
      </c>
      <c r="Z138" s="3225">
        <v>4998</v>
      </c>
      <c r="AA138" s="3225">
        <v>3103</v>
      </c>
      <c r="AB138" s="3225">
        <v>2288</v>
      </c>
      <c r="AC138" s="3225">
        <v>1306</v>
      </c>
      <c r="AD138" s="3225">
        <v>3503</v>
      </c>
      <c r="AE138" s="3225"/>
      <c r="AF138" s="3225"/>
      <c r="AG138" s="3225"/>
      <c r="AH138" s="3225"/>
      <c r="AI138" s="3225"/>
      <c r="AJ138" s="3225"/>
      <c r="AK138" s="3225"/>
      <c r="AL138" s="3225"/>
      <c r="AM138" s="3225"/>
      <c r="AN138" s="3225">
        <f>+Y138+Z138</f>
        <v>10200</v>
      </c>
      <c r="AO138" s="1586">
        <v>43483</v>
      </c>
      <c r="AP138" s="1586">
        <v>43758</v>
      </c>
      <c r="AQ138" s="3185" t="s">
        <v>1347</v>
      </c>
      <c r="AR138" s="1229"/>
      <c r="AS138" s="1229"/>
    </row>
    <row r="139" spans="1:45" s="1165" customFormat="1" ht="24.75" customHeight="1" x14ac:dyDescent="0.2">
      <c r="A139" s="3065"/>
      <c r="B139" s="3151"/>
      <c r="C139" s="3152"/>
      <c r="D139" s="3244"/>
      <c r="E139" s="3245"/>
      <c r="F139" s="3246"/>
      <c r="G139" s="1229"/>
      <c r="H139" s="1554"/>
      <c r="I139" s="1555"/>
      <c r="J139" s="3250"/>
      <c r="K139" s="3142"/>
      <c r="L139" s="3252"/>
      <c r="M139" s="3250"/>
      <c r="N139" s="3256"/>
      <c r="O139" s="3164"/>
      <c r="P139" s="3175"/>
      <c r="Q139" s="3258"/>
      <c r="R139" s="3217"/>
      <c r="S139" s="3142"/>
      <c r="T139" s="3175"/>
      <c r="U139" s="3255"/>
      <c r="V139" s="1570">
        <v>62420000</v>
      </c>
      <c r="W139" s="1655">
        <v>88</v>
      </c>
      <c r="X139" s="1656" t="s">
        <v>1440</v>
      </c>
      <c r="Y139" s="3226"/>
      <c r="Z139" s="3226"/>
      <c r="AA139" s="3226"/>
      <c r="AB139" s="3226"/>
      <c r="AC139" s="3226"/>
      <c r="AD139" s="3226"/>
      <c r="AE139" s="3226"/>
      <c r="AF139" s="3226"/>
      <c r="AG139" s="3226"/>
      <c r="AH139" s="3226"/>
      <c r="AI139" s="3226"/>
      <c r="AJ139" s="3226"/>
      <c r="AK139" s="3226"/>
      <c r="AL139" s="3226"/>
      <c r="AM139" s="3226"/>
      <c r="AN139" s="3226"/>
      <c r="AO139" s="1586"/>
      <c r="AP139" s="1586"/>
      <c r="AQ139" s="3186"/>
      <c r="AR139" s="1229"/>
      <c r="AS139" s="1229"/>
    </row>
    <row r="140" spans="1:45" s="1165" customFormat="1" ht="24.75" customHeight="1" x14ac:dyDescent="0.2">
      <c r="A140" s="3065"/>
      <c r="B140" s="3151"/>
      <c r="C140" s="3152"/>
      <c r="D140" s="3244"/>
      <c r="E140" s="3245"/>
      <c r="F140" s="3246"/>
      <c r="G140" s="1229"/>
      <c r="H140" s="1554"/>
      <c r="I140" s="1555"/>
      <c r="J140" s="3250"/>
      <c r="K140" s="3142"/>
      <c r="L140" s="3252"/>
      <c r="M140" s="3250"/>
      <c r="N140" s="3256"/>
      <c r="O140" s="3164"/>
      <c r="P140" s="3175"/>
      <c r="Q140" s="3258"/>
      <c r="R140" s="3217"/>
      <c r="S140" s="3142"/>
      <c r="T140" s="3175"/>
      <c r="U140" s="3254" t="s">
        <v>1498</v>
      </c>
      <c r="V140" s="1570">
        <v>28000000</v>
      </c>
      <c r="W140" s="1641">
        <v>20</v>
      </c>
      <c r="X140" s="1559" t="s">
        <v>62</v>
      </c>
      <c r="Y140" s="3226"/>
      <c r="Z140" s="3226"/>
      <c r="AA140" s="3226"/>
      <c r="AB140" s="3226"/>
      <c r="AC140" s="3226"/>
      <c r="AD140" s="3226"/>
      <c r="AE140" s="3226"/>
      <c r="AF140" s="3226"/>
      <c r="AG140" s="3226"/>
      <c r="AH140" s="3226"/>
      <c r="AI140" s="3226"/>
      <c r="AJ140" s="3226"/>
      <c r="AK140" s="3226"/>
      <c r="AL140" s="3226"/>
      <c r="AM140" s="3226"/>
      <c r="AN140" s="3226"/>
      <c r="AO140" s="1626">
        <v>43753</v>
      </c>
      <c r="AP140" s="1626">
        <v>43799</v>
      </c>
      <c r="AQ140" s="3186"/>
      <c r="AR140" s="3118"/>
      <c r="AS140" s="1229"/>
    </row>
    <row r="141" spans="1:45" s="1165" customFormat="1" ht="24.75" customHeight="1" x14ac:dyDescent="0.2">
      <c r="A141" s="3065"/>
      <c r="B141" s="3151"/>
      <c r="C141" s="3152"/>
      <c r="D141" s="3244"/>
      <c r="E141" s="3245"/>
      <c r="F141" s="3246"/>
      <c r="G141" s="1229"/>
      <c r="H141" s="1554"/>
      <c r="I141" s="1555"/>
      <c r="J141" s="3250"/>
      <c r="K141" s="3142"/>
      <c r="L141" s="3252"/>
      <c r="M141" s="3250"/>
      <c r="N141" s="3256"/>
      <c r="O141" s="3164"/>
      <c r="P141" s="3175"/>
      <c r="Q141" s="3258"/>
      <c r="R141" s="3217"/>
      <c r="S141" s="3142"/>
      <c r="T141" s="3175"/>
      <c r="U141" s="3255"/>
      <c r="V141" s="1570">
        <v>28000000</v>
      </c>
      <c r="W141" s="1641">
        <v>88</v>
      </c>
      <c r="X141" s="1656" t="s">
        <v>1440</v>
      </c>
      <c r="Y141" s="3226"/>
      <c r="Z141" s="3226"/>
      <c r="AA141" s="3226"/>
      <c r="AB141" s="3226"/>
      <c r="AC141" s="3226"/>
      <c r="AD141" s="3226"/>
      <c r="AE141" s="3226"/>
      <c r="AF141" s="3226"/>
      <c r="AG141" s="3226"/>
      <c r="AH141" s="3226"/>
      <c r="AI141" s="3226"/>
      <c r="AJ141" s="3226"/>
      <c r="AK141" s="3226"/>
      <c r="AL141" s="3226"/>
      <c r="AM141" s="3226"/>
      <c r="AN141" s="3226"/>
      <c r="AO141" s="1626"/>
      <c r="AP141" s="1626"/>
      <c r="AQ141" s="3186"/>
      <c r="AR141" s="3118"/>
      <c r="AS141" s="1229"/>
    </row>
    <row r="142" spans="1:45" s="1165" customFormat="1" ht="24.75" customHeight="1" x14ac:dyDescent="0.2">
      <c r="A142" s="3065"/>
      <c r="B142" s="3151"/>
      <c r="C142" s="3152"/>
      <c r="D142" s="3244"/>
      <c r="E142" s="3245"/>
      <c r="F142" s="3246"/>
      <c r="G142" s="1229"/>
      <c r="H142" s="1554"/>
      <c r="I142" s="1555"/>
      <c r="J142" s="3250"/>
      <c r="K142" s="3142"/>
      <c r="L142" s="3252"/>
      <c r="M142" s="3250"/>
      <c r="N142" s="3256"/>
      <c r="O142" s="3164"/>
      <c r="P142" s="3175"/>
      <c r="Q142" s="3258"/>
      <c r="R142" s="3217"/>
      <c r="S142" s="3142"/>
      <c r="T142" s="3175"/>
      <c r="U142" s="3254" t="s">
        <v>1499</v>
      </c>
      <c r="V142" s="1570">
        <v>5000000</v>
      </c>
      <c r="W142" s="1641">
        <v>20</v>
      </c>
      <c r="X142" s="1559" t="s">
        <v>62</v>
      </c>
      <c r="Y142" s="3226"/>
      <c r="Z142" s="3226"/>
      <c r="AA142" s="3226"/>
      <c r="AB142" s="3226"/>
      <c r="AC142" s="3226"/>
      <c r="AD142" s="3226"/>
      <c r="AE142" s="3226"/>
      <c r="AF142" s="3226"/>
      <c r="AG142" s="3226"/>
      <c r="AH142" s="3226"/>
      <c r="AI142" s="3226"/>
      <c r="AJ142" s="3226"/>
      <c r="AK142" s="3226"/>
      <c r="AL142" s="3226"/>
      <c r="AM142" s="3226"/>
      <c r="AN142" s="3226"/>
      <c r="AO142" s="1626">
        <v>43570</v>
      </c>
      <c r="AP142" s="1626">
        <v>43666</v>
      </c>
      <c r="AQ142" s="3186"/>
      <c r="AR142" s="3118"/>
      <c r="AS142" s="1229"/>
    </row>
    <row r="143" spans="1:45" s="1165" customFormat="1" ht="24.75" customHeight="1" x14ac:dyDescent="0.2">
      <c r="A143" s="3065"/>
      <c r="B143" s="3151"/>
      <c r="C143" s="3152"/>
      <c r="D143" s="3244"/>
      <c r="E143" s="3245"/>
      <c r="F143" s="3246"/>
      <c r="G143" s="1229"/>
      <c r="H143" s="1554"/>
      <c r="I143" s="1555"/>
      <c r="J143" s="3250"/>
      <c r="K143" s="3142"/>
      <c r="L143" s="3252"/>
      <c r="M143" s="3250"/>
      <c r="N143" s="3256"/>
      <c r="O143" s="3164"/>
      <c r="P143" s="3175"/>
      <c r="Q143" s="3258"/>
      <c r="R143" s="3217"/>
      <c r="S143" s="3142"/>
      <c r="T143" s="3175"/>
      <c r="U143" s="3255"/>
      <c r="V143" s="1570">
        <v>5000000</v>
      </c>
      <c r="W143" s="1641">
        <v>88</v>
      </c>
      <c r="X143" s="1656" t="s">
        <v>1440</v>
      </c>
      <c r="Y143" s="3226"/>
      <c r="Z143" s="3226"/>
      <c r="AA143" s="3226"/>
      <c r="AB143" s="3226"/>
      <c r="AC143" s="3226"/>
      <c r="AD143" s="3226"/>
      <c r="AE143" s="3226"/>
      <c r="AF143" s="3226"/>
      <c r="AG143" s="3226"/>
      <c r="AH143" s="3226"/>
      <c r="AI143" s="3226"/>
      <c r="AJ143" s="3226"/>
      <c r="AK143" s="3226"/>
      <c r="AL143" s="3226"/>
      <c r="AM143" s="3226"/>
      <c r="AN143" s="3226"/>
      <c r="AO143" s="1626"/>
      <c r="AP143" s="1626"/>
      <c r="AQ143" s="3186"/>
      <c r="AR143" s="3118"/>
      <c r="AS143" s="1229"/>
    </row>
    <row r="144" spans="1:45" s="1165" customFormat="1" ht="24.75" customHeight="1" x14ac:dyDescent="0.2">
      <c r="A144" s="3065"/>
      <c r="B144" s="3151"/>
      <c r="C144" s="3152"/>
      <c r="D144" s="3244"/>
      <c r="E144" s="3245"/>
      <c r="F144" s="3246"/>
      <c r="G144" s="1229"/>
      <c r="H144" s="1554"/>
      <c r="I144" s="1555"/>
      <c r="J144" s="3250"/>
      <c r="K144" s="3142"/>
      <c r="L144" s="3252"/>
      <c r="M144" s="3250"/>
      <c r="N144" s="3256"/>
      <c r="O144" s="3164"/>
      <c r="P144" s="3175"/>
      <c r="Q144" s="3258"/>
      <c r="R144" s="3217"/>
      <c r="S144" s="3142"/>
      <c r="T144" s="3175"/>
      <c r="U144" s="3261" t="s">
        <v>1500</v>
      </c>
      <c r="V144" s="1570">
        <v>11400000</v>
      </c>
      <c r="W144" s="1641">
        <v>20</v>
      </c>
      <c r="X144" s="1559" t="s">
        <v>62</v>
      </c>
      <c r="Y144" s="3226"/>
      <c r="Z144" s="3226"/>
      <c r="AA144" s="3226"/>
      <c r="AB144" s="3226"/>
      <c r="AC144" s="3226"/>
      <c r="AD144" s="3226"/>
      <c r="AE144" s="3226"/>
      <c r="AF144" s="3226"/>
      <c r="AG144" s="3226"/>
      <c r="AH144" s="3226"/>
      <c r="AI144" s="3226"/>
      <c r="AJ144" s="3226"/>
      <c r="AK144" s="3226"/>
      <c r="AL144" s="3226"/>
      <c r="AM144" s="3226"/>
      <c r="AN144" s="3226"/>
      <c r="AO144" s="1626">
        <v>43539</v>
      </c>
      <c r="AP144" s="1626">
        <v>43758</v>
      </c>
      <c r="AQ144" s="3186"/>
      <c r="AR144" s="3118"/>
      <c r="AS144" s="1229"/>
    </row>
    <row r="145" spans="1:45" s="1165" customFormat="1" ht="24.75" customHeight="1" x14ac:dyDescent="0.2">
      <c r="A145" s="3065"/>
      <c r="B145" s="3151"/>
      <c r="C145" s="3152"/>
      <c r="D145" s="3244"/>
      <c r="E145" s="3245"/>
      <c r="F145" s="3246"/>
      <c r="G145" s="1229"/>
      <c r="H145" s="1554"/>
      <c r="I145" s="1555"/>
      <c r="J145" s="3250"/>
      <c r="K145" s="3142"/>
      <c r="L145" s="3252"/>
      <c r="M145" s="3250"/>
      <c r="N145" s="3256"/>
      <c r="O145" s="3164"/>
      <c r="P145" s="3175"/>
      <c r="Q145" s="3258"/>
      <c r="R145" s="3217"/>
      <c r="S145" s="3142"/>
      <c r="T145" s="3175"/>
      <c r="U145" s="3262"/>
      <c r="V145" s="1570">
        <v>10000000</v>
      </c>
      <c r="W145" s="1641">
        <v>88</v>
      </c>
      <c r="X145" s="1656" t="s">
        <v>1440</v>
      </c>
      <c r="Y145" s="3226"/>
      <c r="Z145" s="3226"/>
      <c r="AA145" s="3226"/>
      <c r="AB145" s="3226"/>
      <c r="AC145" s="3226"/>
      <c r="AD145" s="3226"/>
      <c r="AE145" s="3226"/>
      <c r="AF145" s="3226"/>
      <c r="AG145" s="3226"/>
      <c r="AH145" s="3226"/>
      <c r="AI145" s="3226"/>
      <c r="AJ145" s="3226"/>
      <c r="AK145" s="3226"/>
      <c r="AL145" s="3226"/>
      <c r="AM145" s="3226"/>
      <c r="AN145" s="3226"/>
      <c r="AO145" s="1626"/>
      <c r="AP145" s="1626"/>
      <c r="AQ145" s="3186"/>
      <c r="AR145" s="3118"/>
      <c r="AS145" s="1229"/>
    </row>
    <row r="146" spans="1:45" s="1165" customFormat="1" ht="36.75" customHeight="1" x14ac:dyDescent="0.2">
      <c r="A146" s="3065"/>
      <c r="B146" s="3151"/>
      <c r="C146" s="3152"/>
      <c r="D146" s="3244"/>
      <c r="E146" s="3245"/>
      <c r="F146" s="3246"/>
      <c r="G146" s="1229"/>
      <c r="H146" s="1554"/>
      <c r="I146" s="1555"/>
      <c r="J146" s="3250"/>
      <c r="K146" s="3142"/>
      <c r="L146" s="3252"/>
      <c r="M146" s="3250"/>
      <c r="N146" s="3256"/>
      <c r="O146" s="3164"/>
      <c r="P146" s="3175"/>
      <c r="Q146" s="3258"/>
      <c r="R146" s="3217"/>
      <c r="S146" s="3142"/>
      <c r="T146" s="3175"/>
      <c r="U146" s="1657" t="s">
        <v>1501</v>
      </c>
      <c r="V146" s="1570">
        <v>5000000</v>
      </c>
      <c r="W146" s="1641">
        <v>20</v>
      </c>
      <c r="X146" s="1559" t="s">
        <v>62</v>
      </c>
      <c r="Y146" s="3226"/>
      <c r="Z146" s="3226"/>
      <c r="AA146" s="3226"/>
      <c r="AB146" s="3226"/>
      <c r="AC146" s="3226"/>
      <c r="AD146" s="3226"/>
      <c r="AE146" s="3226"/>
      <c r="AF146" s="3226"/>
      <c r="AG146" s="3226"/>
      <c r="AH146" s="3226"/>
      <c r="AI146" s="3226"/>
      <c r="AJ146" s="3226"/>
      <c r="AK146" s="3226"/>
      <c r="AL146" s="3226"/>
      <c r="AM146" s="3226"/>
      <c r="AN146" s="3226"/>
      <c r="AO146" s="1626">
        <v>43539</v>
      </c>
      <c r="AP146" s="1626">
        <v>43758</v>
      </c>
      <c r="AQ146" s="3186"/>
      <c r="AR146" s="3118"/>
      <c r="AS146" s="1229"/>
    </row>
    <row r="147" spans="1:45" s="1165" customFormat="1" ht="41.25" customHeight="1" x14ac:dyDescent="0.2">
      <c r="A147" s="3065"/>
      <c r="B147" s="3151"/>
      <c r="C147" s="3152"/>
      <c r="D147" s="3244"/>
      <c r="E147" s="3245"/>
      <c r="F147" s="3246"/>
      <c r="G147" s="1229"/>
      <c r="H147" s="1554"/>
      <c r="I147" s="1555"/>
      <c r="J147" s="3250"/>
      <c r="K147" s="3142"/>
      <c r="L147" s="3252"/>
      <c r="M147" s="3250"/>
      <c r="N147" s="3256"/>
      <c r="O147" s="3164"/>
      <c r="P147" s="3175"/>
      <c r="Q147" s="3258"/>
      <c r="R147" s="3217"/>
      <c r="S147" s="3142"/>
      <c r="T147" s="3175"/>
      <c r="U147" s="1657" t="s">
        <v>1502</v>
      </c>
      <c r="V147" s="1570">
        <v>12000000</v>
      </c>
      <c r="W147" s="1641">
        <v>20</v>
      </c>
      <c r="X147" s="1559" t="s">
        <v>62</v>
      </c>
      <c r="Y147" s="3226"/>
      <c r="Z147" s="3226"/>
      <c r="AA147" s="3226"/>
      <c r="AB147" s="3226"/>
      <c r="AC147" s="3226"/>
      <c r="AD147" s="3226"/>
      <c r="AE147" s="3226"/>
      <c r="AF147" s="3226"/>
      <c r="AG147" s="3226"/>
      <c r="AH147" s="3226"/>
      <c r="AI147" s="3226"/>
      <c r="AJ147" s="3226"/>
      <c r="AK147" s="3226"/>
      <c r="AL147" s="3226"/>
      <c r="AM147" s="3226"/>
      <c r="AN147" s="3226"/>
      <c r="AO147" s="1586">
        <v>43480</v>
      </c>
      <c r="AP147" s="1586">
        <v>43646</v>
      </c>
      <c r="AQ147" s="3186"/>
      <c r="AR147" s="3118"/>
      <c r="AS147" s="1229"/>
    </row>
    <row r="148" spans="1:45" s="1165" customFormat="1" ht="32.25" customHeight="1" x14ac:dyDescent="0.2">
      <c r="A148" s="3065"/>
      <c r="B148" s="3151"/>
      <c r="C148" s="3152"/>
      <c r="D148" s="3244"/>
      <c r="E148" s="3245"/>
      <c r="F148" s="3246"/>
      <c r="G148" s="1229"/>
      <c r="H148" s="1554"/>
      <c r="I148" s="1555"/>
      <c r="J148" s="3250"/>
      <c r="K148" s="3142"/>
      <c r="L148" s="3252"/>
      <c r="M148" s="3250"/>
      <c r="N148" s="3256"/>
      <c r="O148" s="3164"/>
      <c r="P148" s="3175"/>
      <c r="Q148" s="3258"/>
      <c r="R148" s="3217"/>
      <c r="S148" s="3142"/>
      <c r="T148" s="3175"/>
      <c r="U148" s="3254" t="s">
        <v>1503</v>
      </c>
      <c r="V148" s="1570">
        <v>40000000</v>
      </c>
      <c r="W148" s="1641">
        <v>20</v>
      </c>
      <c r="X148" s="1559" t="s">
        <v>62</v>
      </c>
      <c r="Y148" s="3226"/>
      <c r="Z148" s="3226"/>
      <c r="AA148" s="3226"/>
      <c r="AB148" s="3226"/>
      <c r="AC148" s="3226"/>
      <c r="AD148" s="3226"/>
      <c r="AE148" s="3226"/>
      <c r="AF148" s="3226"/>
      <c r="AG148" s="3226"/>
      <c r="AH148" s="3226"/>
      <c r="AI148" s="3226"/>
      <c r="AJ148" s="3226"/>
      <c r="AK148" s="3226"/>
      <c r="AL148" s="3226"/>
      <c r="AM148" s="3226"/>
      <c r="AN148" s="3226"/>
      <c r="AO148" s="1586">
        <v>43480</v>
      </c>
      <c r="AP148" s="1586">
        <v>43646</v>
      </c>
      <c r="AQ148" s="3186"/>
      <c r="AR148" s="1229"/>
      <c r="AS148" s="1229"/>
    </row>
    <row r="149" spans="1:45" s="1165" customFormat="1" ht="32.25" customHeight="1" x14ac:dyDescent="0.2">
      <c r="A149" s="3065"/>
      <c r="B149" s="3151"/>
      <c r="C149" s="3152"/>
      <c r="D149" s="3244"/>
      <c r="E149" s="3245"/>
      <c r="F149" s="3246"/>
      <c r="G149" s="1229"/>
      <c r="H149" s="1554"/>
      <c r="I149" s="1555"/>
      <c r="J149" s="3250"/>
      <c r="K149" s="3142"/>
      <c r="L149" s="3252"/>
      <c r="M149" s="3250"/>
      <c r="N149" s="3256"/>
      <c r="O149" s="3164"/>
      <c r="P149" s="3175"/>
      <c r="Q149" s="3258"/>
      <c r="R149" s="3217"/>
      <c r="S149" s="3142"/>
      <c r="T149" s="3175"/>
      <c r="U149" s="3255"/>
      <c r="V149" s="1570">
        <v>43690500</v>
      </c>
      <c r="W149" s="1641">
        <v>88</v>
      </c>
      <c r="X149" s="1656" t="s">
        <v>1440</v>
      </c>
      <c r="Y149" s="3226"/>
      <c r="Z149" s="3226"/>
      <c r="AA149" s="3226"/>
      <c r="AB149" s="3226"/>
      <c r="AC149" s="3226"/>
      <c r="AD149" s="3226"/>
      <c r="AE149" s="3226"/>
      <c r="AF149" s="3226"/>
      <c r="AG149" s="3226"/>
      <c r="AH149" s="3226"/>
      <c r="AI149" s="3226"/>
      <c r="AJ149" s="3226"/>
      <c r="AK149" s="3226"/>
      <c r="AL149" s="3226"/>
      <c r="AM149" s="3226"/>
      <c r="AN149" s="3226"/>
      <c r="AO149" s="1586"/>
      <c r="AP149" s="1586"/>
      <c r="AQ149" s="3186"/>
      <c r="AR149" s="1229"/>
      <c r="AS149" s="1229"/>
    </row>
    <row r="150" spans="1:45" s="1165" customFormat="1" ht="32.25" customHeight="1" x14ac:dyDescent="0.2">
      <c r="A150" s="3065"/>
      <c r="B150" s="3151"/>
      <c r="C150" s="3152"/>
      <c r="D150" s="3244"/>
      <c r="E150" s="3245"/>
      <c r="F150" s="3246"/>
      <c r="G150" s="1229"/>
      <c r="H150" s="1554"/>
      <c r="I150" s="1555"/>
      <c r="J150" s="3250"/>
      <c r="K150" s="3142"/>
      <c r="L150" s="3252"/>
      <c r="M150" s="3250"/>
      <c r="N150" s="3256"/>
      <c r="O150" s="3164"/>
      <c r="P150" s="3175"/>
      <c r="Q150" s="3258"/>
      <c r="R150" s="3217"/>
      <c r="S150" s="3142"/>
      <c r="T150" s="3175"/>
      <c r="U150" s="3254" t="s">
        <v>1504</v>
      </c>
      <c r="V150" s="1570">
        <v>20000000</v>
      </c>
      <c r="W150" s="1641">
        <v>20</v>
      </c>
      <c r="X150" s="1559" t="s">
        <v>62</v>
      </c>
      <c r="Y150" s="3226"/>
      <c r="Z150" s="3226"/>
      <c r="AA150" s="3226"/>
      <c r="AB150" s="3226"/>
      <c r="AC150" s="3226"/>
      <c r="AD150" s="3226"/>
      <c r="AE150" s="3226"/>
      <c r="AF150" s="3226"/>
      <c r="AG150" s="3226"/>
      <c r="AH150" s="3226"/>
      <c r="AI150" s="3226"/>
      <c r="AJ150" s="3226"/>
      <c r="AK150" s="3226"/>
      <c r="AL150" s="3226"/>
      <c r="AM150" s="3226"/>
      <c r="AN150" s="3226"/>
      <c r="AO150" s="1626">
        <v>43534</v>
      </c>
      <c r="AP150" s="1626">
        <v>43692</v>
      </c>
      <c r="AQ150" s="3186"/>
      <c r="AR150" s="1229"/>
      <c r="AS150" s="1229"/>
    </row>
    <row r="151" spans="1:45" s="1165" customFormat="1" ht="24.75" customHeight="1" x14ac:dyDescent="0.2">
      <c r="A151" s="3065"/>
      <c r="B151" s="3151"/>
      <c r="C151" s="3152"/>
      <c r="D151" s="3244"/>
      <c r="E151" s="3245"/>
      <c r="F151" s="3246"/>
      <c r="G151" s="1229"/>
      <c r="H151" s="1554"/>
      <c r="I151" s="1555"/>
      <c r="J151" s="3240"/>
      <c r="K151" s="3081"/>
      <c r="L151" s="3253"/>
      <c r="M151" s="3240"/>
      <c r="N151" s="3256"/>
      <c r="O151" s="3164"/>
      <c r="P151" s="3175"/>
      <c r="Q151" s="3259"/>
      <c r="R151" s="3217"/>
      <c r="S151" s="3142"/>
      <c r="T151" s="3175"/>
      <c r="U151" s="3255"/>
      <c r="V151" s="1570">
        <v>20000000</v>
      </c>
      <c r="W151" s="1641">
        <v>88</v>
      </c>
      <c r="X151" s="1656" t="s">
        <v>1440</v>
      </c>
      <c r="Y151" s="3226"/>
      <c r="Z151" s="3226"/>
      <c r="AA151" s="3226"/>
      <c r="AB151" s="3226"/>
      <c r="AC151" s="3226"/>
      <c r="AD151" s="3226"/>
      <c r="AE151" s="3226"/>
      <c r="AF151" s="3226"/>
      <c r="AG151" s="3226"/>
      <c r="AH151" s="3226"/>
      <c r="AI151" s="3226"/>
      <c r="AJ151" s="3226"/>
      <c r="AK151" s="3226"/>
      <c r="AL151" s="3226"/>
      <c r="AM151" s="3226"/>
      <c r="AN151" s="3226"/>
      <c r="AO151" s="1626"/>
      <c r="AP151" s="1626"/>
      <c r="AQ151" s="3186"/>
      <c r="AR151" s="1229"/>
      <c r="AS151" s="1229"/>
    </row>
    <row r="152" spans="1:45" s="1165" customFormat="1" ht="42" customHeight="1" x14ac:dyDescent="0.2">
      <c r="A152" s="3065"/>
      <c r="B152" s="3151"/>
      <c r="C152" s="3152"/>
      <c r="D152" s="3244"/>
      <c r="E152" s="3245"/>
      <c r="F152" s="3246"/>
      <c r="G152" s="1229"/>
      <c r="H152" s="1554"/>
      <c r="I152" s="1555"/>
      <c r="J152" s="3223">
        <v>251</v>
      </c>
      <c r="K152" s="3121" t="s">
        <v>1505</v>
      </c>
      <c r="L152" s="3121" t="s">
        <v>1506</v>
      </c>
      <c r="M152" s="3223">
        <v>1</v>
      </c>
      <c r="N152" s="3256"/>
      <c r="O152" s="3164"/>
      <c r="P152" s="3175"/>
      <c r="Q152" s="3224">
        <f>SUM(V152:V156)/R138</f>
        <v>7.0958179167026181E-2</v>
      </c>
      <c r="R152" s="3217"/>
      <c r="S152" s="3142"/>
      <c r="T152" s="3175"/>
      <c r="U152" s="1657" t="s">
        <v>1507</v>
      </c>
      <c r="V152" s="1570">
        <v>18000000</v>
      </c>
      <c r="W152" s="1641">
        <v>20</v>
      </c>
      <c r="X152" s="1559" t="s">
        <v>62</v>
      </c>
      <c r="Y152" s="3226"/>
      <c r="Z152" s="3226"/>
      <c r="AA152" s="3226"/>
      <c r="AB152" s="3226"/>
      <c r="AC152" s="3226"/>
      <c r="AD152" s="3226"/>
      <c r="AE152" s="3226"/>
      <c r="AF152" s="3226"/>
      <c r="AG152" s="3226"/>
      <c r="AH152" s="3226"/>
      <c r="AI152" s="3226"/>
      <c r="AJ152" s="3226"/>
      <c r="AK152" s="3226"/>
      <c r="AL152" s="3226"/>
      <c r="AM152" s="3226"/>
      <c r="AN152" s="3226"/>
      <c r="AO152" s="1586">
        <v>43480</v>
      </c>
      <c r="AP152" s="1586">
        <v>43646</v>
      </c>
      <c r="AQ152" s="3186"/>
      <c r="AR152" s="1229"/>
      <c r="AS152" s="1229"/>
    </row>
    <row r="153" spans="1:45" s="1165" customFormat="1" ht="46.5" customHeight="1" x14ac:dyDescent="0.2">
      <c r="A153" s="3065"/>
      <c r="B153" s="3151"/>
      <c r="C153" s="3152"/>
      <c r="D153" s="3244"/>
      <c r="E153" s="3245"/>
      <c r="F153" s="3246"/>
      <c r="G153" s="1229"/>
      <c r="H153" s="1554"/>
      <c r="I153" s="1555"/>
      <c r="J153" s="3223"/>
      <c r="K153" s="3121"/>
      <c r="L153" s="3121"/>
      <c r="M153" s="3223"/>
      <c r="N153" s="3256"/>
      <c r="O153" s="3164"/>
      <c r="P153" s="3175"/>
      <c r="Q153" s="3224"/>
      <c r="R153" s="3217"/>
      <c r="S153" s="3142"/>
      <c r="T153" s="3175"/>
      <c r="U153" s="1658" t="s">
        <v>1508</v>
      </c>
      <c r="V153" s="1570">
        <v>5000000</v>
      </c>
      <c r="W153" s="1641">
        <v>20</v>
      </c>
      <c r="X153" s="1559" t="s">
        <v>62</v>
      </c>
      <c r="Y153" s="3226"/>
      <c r="Z153" s="3226"/>
      <c r="AA153" s="3226"/>
      <c r="AB153" s="3226"/>
      <c r="AC153" s="3226"/>
      <c r="AD153" s="3226"/>
      <c r="AE153" s="3226"/>
      <c r="AF153" s="3226"/>
      <c r="AG153" s="3226"/>
      <c r="AH153" s="3226"/>
      <c r="AI153" s="3226"/>
      <c r="AJ153" s="3226"/>
      <c r="AK153" s="3226"/>
      <c r="AL153" s="3226"/>
      <c r="AM153" s="3226"/>
      <c r="AN153" s="3226"/>
      <c r="AO153" s="1552">
        <v>43539</v>
      </c>
      <c r="AP153" s="1564" t="s">
        <v>1509</v>
      </c>
      <c r="AQ153" s="3186"/>
      <c r="AR153" s="1229"/>
      <c r="AS153" s="1229"/>
    </row>
    <row r="154" spans="1:45" s="1165" customFormat="1" ht="25.5" x14ac:dyDescent="0.2">
      <c r="A154" s="3065"/>
      <c r="B154" s="3151"/>
      <c r="C154" s="3152"/>
      <c r="D154" s="3244"/>
      <c r="E154" s="3245"/>
      <c r="F154" s="3246"/>
      <c r="G154" s="1229"/>
      <c r="H154" s="1554"/>
      <c r="I154" s="1555"/>
      <c r="J154" s="3223"/>
      <c r="K154" s="3121"/>
      <c r="L154" s="3121"/>
      <c r="M154" s="3223"/>
      <c r="N154" s="3256"/>
      <c r="O154" s="3164"/>
      <c r="P154" s="3175"/>
      <c r="Q154" s="3224"/>
      <c r="R154" s="3217"/>
      <c r="S154" s="3142"/>
      <c r="T154" s="3175"/>
      <c r="U154" s="1659" t="s">
        <v>1510</v>
      </c>
      <c r="V154" s="1570">
        <v>14690000</v>
      </c>
      <c r="W154" s="1641">
        <v>20</v>
      </c>
      <c r="X154" s="1559" t="s">
        <v>62</v>
      </c>
      <c r="Y154" s="3226"/>
      <c r="Z154" s="3226"/>
      <c r="AA154" s="3226"/>
      <c r="AB154" s="3226"/>
      <c r="AC154" s="3226"/>
      <c r="AD154" s="3226"/>
      <c r="AE154" s="3226"/>
      <c r="AF154" s="3226"/>
      <c r="AG154" s="3226"/>
      <c r="AH154" s="3226"/>
      <c r="AI154" s="3226"/>
      <c r="AJ154" s="3226"/>
      <c r="AK154" s="3226"/>
      <c r="AL154" s="3226"/>
      <c r="AM154" s="3226"/>
      <c r="AN154" s="3226"/>
      <c r="AO154" s="1586">
        <v>43490</v>
      </c>
      <c r="AP154" s="1586">
        <v>43646</v>
      </c>
      <c r="AQ154" s="3186"/>
      <c r="AR154" s="1229"/>
      <c r="AS154" s="1229"/>
    </row>
    <row r="155" spans="1:45" s="1165" customFormat="1" ht="33" customHeight="1" x14ac:dyDescent="0.2">
      <c r="A155" s="3065"/>
      <c r="B155" s="3151"/>
      <c r="C155" s="3152"/>
      <c r="D155" s="3244"/>
      <c r="E155" s="3245"/>
      <c r="F155" s="3246"/>
      <c r="G155" s="1229"/>
      <c r="H155" s="1554"/>
      <c r="I155" s="1555"/>
      <c r="J155" s="3223"/>
      <c r="K155" s="3121"/>
      <c r="L155" s="3121"/>
      <c r="M155" s="3223"/>
      <c r="N155" s="3256"/>
      <c r="O155" s="3164"/>
      <c r="P155" s="3175"/>
      <c r="Q155" s="3224"/>
      <c r="R155" s="3217"/>
      <c r="S155" s="3142"/>
      <c r="T155" s="3175"/>
      <c r="U155" s="1659" t="s">
        <v>1511</v>
      </c>
      <c r="V155" s="1570">
        <v>5000000</v>
      </c>
      <c r="W155" s="1641">
        <v>20</v>
      </c>
      <c r="X155" s="1559" t="s">
        <v>62</v>
      </c>
      <c r="Y155" s="3226"/>
      <c r="Z155" s="3226"/>
      <c r="AA155" s="3226"/>
      <c r="AB155" s="3226"/>
      <c r="AC155" s="3226"/>
      <c r="AD155" s="3226"/>
      <c r="AE155" s="3226"/>
      <c r="AF155" s="3226"/>
      <c r="AG155" s="3226"/>
      <c r="AH155" s="3226"/>
      <c r="AI155" s="3226"/>
      <c r="AJ155" s="3226"/>
      <c r="AK155" s="3226"/>
      <c r="AL155" s="3226"/>
      <c r="AM155" s="3226"/>
      <c r="AN155" s="3226"/>
      <c r="AO155" s="1552">
        <v>43539</v>
      </c>
      <c r="AP155" s="1552">
        <v>43758</v>
      </c>
      <c r="AQ155" s="3186"/>
      <c r="AR155" s="1229"/>
      <c r="AS155" s="1229"/>
    </row>
    <row r="156" spans="1:45" s="1165" customFormat="1" ht="21.75" customHeight="1" x14ac:dyDescent="0.2">
      <c r="A156" s="3065"/>
      <c r="B156" s="3151"/>
      <c r="C156" s="3152"/>
      <c r="D156" s="3244"/>
      <c r="E156" s="3245"/>
      <c r="F156" s="3246"/>
      <c r="G156" s="1229"/>
      <c r="H156" s="1554"/>
      <c r="I156" s="1555"/>
      <c r="J156" s="3223"/>
      <c r="K156" s="3121"/>
      <c r="L156" s="3121"/>
      <c r="M156" s="3223"/>
      <c r="N156" s="3256"/>
      <c r="O156" s="3164"/>
      <c r="P156" s="3175"/>
      <c r="Q156" s="3224"/>
      <c r="R156" s="3217"/>
      <c r="S156" s="3142"/>
      <c r="T156" s="3175"/>
      <c r="U156" s="1659" t="s">
        <v>1512</v>
      </c>
      <c r="V156" s="1570">
        <v>7000000</v>
      </c>
      <c r="W156" s="1641">
        <v>20</v>
      </c>
      <c r="X156" s="1559" t="s">
        <v>62</v>
      </c>
      <c r="Y156" s="3226"/>
      <c r="Z156" s="3226"/>
      <c r="AA156" s="3226"/>
      <c r="AB156" s="3226"/>
      <c r="AC156" s="3226"/>
      <c r="AD156" s="3226"/>
      <c r="AE156" s="3226"/>
      <c r="AF156" s="3226"/>
      <c r="AG156" s="3226"/>
      <c r="AH156" s="3226"/>
      <c r="AI156" s="3226"/>
      <c r="AJ156" s="3226"/>
      <c r="AK156" s="3226"/>
      <c r="AL156" s="3226"/>
      <c r="AM156" s="3226"/>
      <c r="AN156" s="3226"/>
      <c r="AO156" s="1552">
        <v>43539</v>
      </c>
      <c r="AP156" s="1552">
        <v>43758</v>
      </c>
      <c r="AQ156" s="3186"/>
      <c r="AR156" s="1229"/>
      <c r="AS156" s="1229"/>
    </row>
    <row r="157" spans="1:45" s="1165" customFormat="1" ht="75.75" customHeight="1" x14ac:dyDescent="0.2">
      <c r="A157" s="3065"/>
      <c r="B157" s="3151"/>
      <c r="C157" s="3152"/>
      <c r="D157" s="3244"/>
      <c r="E157" s="3245"/>
      <c r="F157" s="3246"/>
      <c r="G157" s="1229"/>
      <c r="H157" s="1554"/>
      <c r="I157" s="1555"/>
      <c r="J157" s="1559">
        <v>252</v>
      </c>
      <c r="K157" s="1557" t="s">
        <v>1513</v>
      </c>
      <c r="L157" s="1557" t="s">
        <v>1514</v>
      </c>
      <c r="M157" s="1559">
        <v>1</v>
      </c>
      <c r="N157" s="3256"/>
      <c r="O157" s="3164"/>
      <c r="P157" s="3175"/>
      <c r="Q157" s="1650">
        <f>SUM(V157)/R138</f>
        <v>3.5486229669965799E-2</v>
      </c>
      <c r="R157" s="3217"/>
      <c r="S157" s="3142"/>
      <c r="T157" s="3175"/>
      <c r="U157" s="1660" t="s">
        <v>1515</v>
      </c>
      <c r="V157" s="1570">
        <v>24850000</v>
      </c>
      <c r="W157" s="1641">
        <v>20</v>
      </c>
      <c r="X157" s="1559" t="s">
        <v>62</v>
      </c>
      <c r="Y157" s="3226"/>
      <c r="Z157" s="3226"/>
      <c r="AA157" s="3226"/>
      <c r="AB157" s="3226"/>
      <c r="AC157" s="3226"/>
      <c r="AD157" s="3226"/>
      <c r="AE157" s="3226"/>
      <c r="AF157" s="3226"/>
      <c r="AG157" s="3226"/>
      <c r="AH157" s="3226"/>
      <c r="AI157" s="3226"/>
      <c r="AJ157" s="3226"/>
      <c r="AK157" s="3226"/>
      <c r="AL157" s="3226"/>
      <c r="AM157" s="3226"/>
      <c r="AN157" s="3226"/>
      <c r="AO157" s="1552">
        <v>43497</v>
      </c>
      <c r="AP157" s="1552">
        <v>43779</v>
      </c>
      <c r="AQ157" s="3186"/>
      <c r="AR157" s="1229"/>
      <c r="AS157" s="1229"/>
    </row>
    <row r="158" spans="1:45" s="1165" customFormat="1" ht="23.25" customHeight="1" x14ac:dyDescent="0.2">
      <c r="A158" s="3065"/>
      <c r="B158" s="3151"/>
      <c r="C158" s="3152"/>
      <c r="D158" s="3244"/>
      <c r="E158" s="3245"/>
      <c r="F158" s="3246"/>
      <c r="G158" s="1229"/>
      <c r="H158" s="1554"/>
      <c r="I158" s="1555"/>
      <c r="J158" s="3239">
        <v>253</v>
      </c>
      <c r="K158" s="3080" t="s">
        <v>1516</v>
      </c>
      <c r="L158" s="3158" t="s">
        <v>1517</v>
      </c>
      <c r="M158" s="3265">
        <v>0.5</v>
      </c>
      <c r="N158" s="3256"/>
      <c r="O158" s="3164"/>
      <c r="P158" s="3175"/>
      <c r="Q158" s="3257">
        <f>SUM(V158:V160)/R138</f>
        <v>0.34272414973005194</v>
      </c>
      <c r="R158" s="3217"/>
      <c r="S158" s="3142"/>
      <c r="T158" s="3175"/>
      <c r="U158" s="3263" t="s">
        <v>1518</v>
      </c>
      <c r="V158" s="1661">
        <v>85000000</v>
      </c>
      <c r="W158" s="1641">
        <v>20</v>
      </c>
      <c r="X158" s="1662" t="s">
        <v>62</v>
      </c>
      <c r="Y158" s="3226"/>
      <c r="Z158" s="3226"/>
      <c r="AA158" s="3226"/>
      <c r="AB158" s="3226"/>
      <c r="AC158" s="3226"/>
      <c r="AD158" s="3226"/>
      <c r="AE158" s="3226"/>
      <c r="AF158" s="3226"/>
      <c r="AG158" s="3226"/>
      <c r="AH158" s="3226"/>
      <c r="AI158" s="3226"/>
      <c r="AJ158" s="3226"/>
      <c r="AK158" s="3226"/>
      <c r="AL158" s="3226"/>
      <c r="AM158" s="3226"/>
      <c r="AN158" s="3226"/>
      <c r="AO158" s="1552">
        <v>43490</v>
      </c>
      <c r="AP158" s="1552">
        <v>43784</v>
      </c>
      <c r="AQ158" s="3186"/>
      <c r="AR158" s="1229"/>
      <c r="AS158" s="1229"/>
    </row>
    <row r="159" spans="1:45" s="1165" customFormat="1" ht="27.75" customHeight="1" x14ac:dyDescent="0.2">
      <c r="A159" s="3065"/>
      <c r="B159" s="3151"/>
      <c r="C159" s="3152"/>
      <c r="D159" s="3244"/>
      <c r="E159" s="3245"/>
      <c r="F159" s="3246"/>
      <c r="G159" s="1229"/>
      <c r="H159" s="1554"/>
      <c r="I159" s="1555"/>
      <c r="J159" s="3250"/>
      <c r="K159" s="3142"/>
      <c r="L159" s="3159"/>
      <c r="M159" s="3266"/>
      <c r="N159" s="3256"/>
      <c r="O159" s="3164"/>
      <c r="P159" s="3175"/>
      <c r="Q159" s="3258"/>
      <c r="R159" s="3217"/>
      <c r="S159" s="3142"/>
      <c r="T159" s="3175"/>
      <c r="U159" s="3264"/>
      <c r="V159" s="1663">
        <v>140000000</v>
      </c>
      <c r="W159" s="1642">
        <v>88</v>
      </c>
      <c r="X159" s="1664" t="s">
        <v>1440</v>
      </c>
      <c r="Y159" s="3226"/>
      <c r="Z159" s="3226"/>
      <c r="AA159" s="3226"/>
      <c r="AB159" s="3226"/>
      <c r="AC159" s="3226"/>
      <c r="AD159" s="3226"/>
      <c r="AE159" s="3226"/>
      <c r="AF159" s="3226"/>
      <c r="AG159" s="3226"/>
      <c r="AH159" s="3226"/>
      <c r="AI159" s="3226"/>
      <c r="AJ159" s="3226"/>
      <c r="AK159" s="3226"/>
      <c r="AL159" s="3226"/>
      <c r="AM159" s="3226"/>
      <c r="AN159" s="3226"/>
      <c r="AO159" s="1552"/>
      <c r="AP159" s="1552"/>
      <c r="AQ159" s="3186"/>
      <c r="AR159" s="1229"/>
      <c r="AS159" s="1229"/>
    </row>
    <row r="160" spans="1:45" s="1165" customFormat="1" ht="37.5" customHeight="1" x14ac:dyDescent="0.2">
      <c r="A160" s="3065"/>
      <c r="B160" s="3151"/>
      <c r="C160" s="3152"/>
      <c r="D160" s="3244"/>
      <c r="E160" s="3245"/>
      <c r="F160" s="3246"/>
      <c r="G160" s="1229"/>
      <c r="H160" s="1554"/>
      <c r="I160" s="1555"/>
      <c r="J160" s="3240"/>
      <c r="K160" s="3081"/>
      <c r="L160" s="3160"/>
      <c r="M160" s="3267"/>
      <c r="N160" s="3256"/>
      <c r="O160" s="3164"/>
      <c r="P160" s="3175"/>
      <c r="Q160" s="3259"/>
      <c r="R160" s="3217"/>
      <c r="S160" s="3142"/>
      <c r="T160" s="3175"/>
      <c r="U160" s="1665" t="s">
        <v>1519</v>
      </c>
      <c r="V160" s="1666">
        <v>15000000</v>
      </c>
      <c r="W160" s="1641">
        <v>20</v>
      </c>
      <c r="X160" s="1635" t="s">
        <v>62</v>
      </c>
      <c r="Y160" s="3226"/>
      <c r="Z160" s="3226"/>
      <c r="AA160" s="3226"/>
      <c r="AB160" s="3226"/>
      <c r="AC160" s="3226"/>
      <c r="AD160" s="3226"/>
      <c r="AE160" s="3226"/>
      <c r="AF160" s="3226"/>
      <c r="AG160" s="3226"/>
      <c r="AH160" s="3226"/>
      <c r="AI160" s="3226"/>
      <c r="AJ160" s="3226"/>
      <c r="AK160" s="3226"/>
      <c r="AL160" s="3226"/>
      <c r="AM160" s="3226"/>
      <c r="AN160" s="3226"/>
      <c r="AO160" s="1552">
        <v>43542</v>
      </c>
      <c r="AP160" s="1552">
        <v>43785</v>
      </c>
      <c r="AQ160" s="3186"/>
      <c r="AR160" s="1229"/>
      <c r="AS160" s="1229"/>
    </row>
    <row r="161" spans="1:45" s="1165" customFormat="1" ht="43.5" customHeight="1" x14ac:dyDescent="0.2">
      <c r="A161" s="3065"/>
      <c r="B161" s="3151"/>
      <c r="C161" s="3152"/>
      <c r="D161" s="3244"/>
      <c r="E161" s="3245"/>
      <c r="F161" s="3246"/>
      <c r="G161" s="1229"/>
      <c r="H161" s="1554"/>
      <c r="I161" s="1555"/>
      <c r="J161" s="3239">
        <v>254</v>
      </c>
      <c r="K161" s="3080" t="s">
        <v>1520</v>
      </c>
      <c r="L161" s="3080" t="s">
        <v>1521</v>
      </c>
      <c r="M161" s="3239">
        <v>1</v>
      </c>
      <c r="N161" s="3256"/>
      <c r="O161" s="3164"/>
      <c r="P161" s="3175"/>
      <c r="Q161" s="3257">
        <f>SUM(V161:V164)/R138</f>
        <v>4.25565332017383E-2</v>
      </c>
      <c r="R161" s="3217"/>
      <c r="S161" s="3142"/>
      <c r="T161" s="3175"/>
      <c r="U161" s="1667" t="s">
        <v>1522</v>
      </c>
      <c r="V161" s="1666">
        <v>17101133</v>
      </c>
      <c r="W161" s="1641">
        <v>20</v>
      </c>
      <c r="X161" s="1635" t="s">
        <v>62</v>
      </c>
      <c r="Y161" s="3226"/>
      <c r="Z161" s="3226"/>
      <c r="AA161" s="3226"/>
      <c r="AB161" s="3226"/>
      <c r="AC161" s="3226"/>
      <c r="AD161" s="3226"/>
      <c r="AE161" s="3226"/>
      <c r="AF161" s="3226"/>
      <c r="AG161" s="3226"/>
      <c r="AH161" s="3226"/>
      <c r="AI161" s="3226"/>
      <c r="AJ161" s="3226"/>
      <c r="AK161" s="3226"/>
      <c r="AL161" s="3226"/>
      <c r="AM161" s="3226"/>
      <c r="AN161" s="3226"/>
      <c r="AO161" s="1586">
        <v>43480</v>
      </c>
      <c r="AP161" s="1586">
        <v>43646</v>
      </c>
      <c r="AQ161" s="3186"/>
      <c r="AR161" s="1229"/>
      <c r="AS161" s="1229"/>
    </row>
    <row r="162" spans="1:45" s="1165" customFormat="1" ht="36" customHeight="1" x14ac:dyDescent="0.2">
      <c r="A162" s="3065"/>
      <c r="B162" s="3151"/>
      <c r="C162" s="3152"/>
      <c r="D162" s="3244"/>
      <c r="E162" s="3245"/>
      <c r="F162" s="3246"/>
      <c r="G162" s="1229"/>
      <c r="H162" s="1554"/>
      <c r="I162" s="1555"/>
      <c r="J162" s="3250"/>
      <c r="K162" s="3142"/>
      <c r="L162" s="3142"/>
      <c r="M162" s="3250"/>
      <c r="N162" s="3256"/>
      <c r="O162" s="3164"/>
      <c r="P162" s="3175"/>
      <c r="Q162" s="3258"/>
      <c r="R162" s="3217"/>
      <c r="S162" s="3142"/>
      <c r="T162" s="3175"/>
      <c r="U162" s="1657" t="s">
        <v>1523</v>
      </c>
      <c r="V162" s="1570">
        <v>5000000</v>
      </c>
      <c r="W162" s="1641">
        <v>20</v>
      </c>
      <c r="X162" s="1559" t="s">
        <v>62</v>
      </c>
      <c r="Y162" s="3226"/>
      <c r="Z162" s="3226"/>
      <c r="AA162" s="3226"/>
      <c r="AB162" s="3226"/>
      <c r="AC162" s="3226"/>
      <c r="AD162" s="3226"/>
      <c r="AE162" s="3226"/>
      <c r="AF162" s="3226"/>
      <c r="AG162" s="3226"/>
      <c r="AH162" s="3226"/>
      <c r="AI162" s="3226"/>
      <c r="AJ162" s="3226"/>
      <c r="AK162" s="3226"/>
      <c r="AL162" s="3226"/>
      <c r="AM162" s="3226"/>
      <c r="AN162" s="3226"/>
      <c r="AO162" s="1552">
        <v>43539</v>
      </c>
      <c r="AP162" s="1552">
        <v>43697</v>
      </c>
      <c r="AQ162" s="3186"/>
      <c r="AR162" s="1229"/>
      <c r="AS162" s="1229"/>
    </row>
    <row r="163" spans="1:45" s="1165" customFormat="1" ht="39.75" customHeight="1" x14ac:dyDescent="0.2">
      <c r="A163" s="3065"/>
      <c r="B163" s="3151"/>
      <c r="C163" s="3152"/>
      <c r="D163" s="3244"/>
      <c r="E163" s="3245"/>
      <c r="F163" s="3246"/>
      <c r="G163" s="1229"/>
      <c r="H163" s="1554"/>
      <c r="I163" s="1555"/>
      <c r="J163" s="3250"/>
      <c r="K163" s="3142"/>
      <c r="L163" s="3142"/>
      <c r="M163" s="3250"/>
      <c r="N163" s="3256"/>
      <c r="O163" s="3164"/>
      <c r="P163" s="3175"/>
      <c r="Q163" s="3258"/>
      <c r="R163" s="3217"/>
      <c r="S163" s="3142"/>
      <c r="T163" s="3175"/>
      <c r="U163" s="1658" t="s">
        <v>1524</v>
      </c>
      <c r="V163" s="1570">
        <v>5000000</v>
      </c>
      <c r="W163" s="1641">
        <v>20</v>
      </c>
      <c r="X163" s="1559" t="s">
        <v>62</v>
      </c>
      <c r="Y163" s="3226"/>
      <c r="Z163" s="3226"/>
      <c r="AA163" s="3226"/>
      <c r="AB163" s="3226"/>
      <c r="AC163" s="3226"/>
      <c r="AD163" s="3226"/>
      <c r="AE163" s="3226"/>
      <c r="AF163" s="3226"/>
      <c r="AG163" s="3226"/>
      <c r="AH163" s="3226"/>
      <c r="AI163" s="3226"/>
      <c r="AJ163" s="3226"/>
      <c r="AK163" s="3226"/>
      <c r="AL163" s="3226"/>
      <c r="AM163" s="3226"/>
      <c r="AN163" s="3226"/>
      <c r="AO163" s="1552">
        <v>43539</v>
      </c>
      <c r="AP163" s="1552">
        <v>43689</v>
      </c>
      <c r="AQ163" s="3186"/>
      <c r="AR163" s="1229"/>
      <c r="AS163" s="1229"/>
    </row>
    <row r="164" spans="1:45" s="1165" customFormat="1" ht="39.75" customHeight="1" x14ac:dyDescent="0.2">
      <c r="A164" s="3065"/>
      <c r="B164" s="3151"/>
      <c r="C164" s="3152"/>
      <c r="D164" s="3247"/>
      <c r="E164" s="3248"/>
      <c r="F164" s="3249"/>
      <c r="G164" s="1229"/>
      <c r="H164" s="1554"/>
      <c r="I164" s="1555"/>
      <c r="J164" s="3250"/>
      <c r="K164" s="3081"/>
      <c r="L164" s="3081"/>
      <c r="M164" s="3250"/>
      <c r="N164" s="3256"/>
      <c r="O164" s="3164"/>
      <c r="P164" s="3175"/>
      <c r="Q164" s="3259"/>
      <c r="R164" s="3218"/>
      <c r="S164" s="3081"/>
      <c r="T164" s="3175"/>
      <c r="U164" s="1658" t="s">
        <v>1500</v>
      </c>
      <c r="V164" s="1570">
        <v>2700000</v>
      </c>
      <c r="W164" s="1641">
        <v>20</v>
      </c>
      <c r="X164" s="1559" t="s">
        <v>62</v>
      </c>
      <c r="Y164" s="3227"/>
      <c r="Z164" s="3227"/>
      <c r="AA164" s="3227"/>
      <c r="AB164" s="3227"/>
      <c r="AC164" s="3227"/>
      <c r="AD164" s="3227"/>
      <c r="AE164" s="3226"/>
      <c r="AF164" s="3227"/>
      <c r="AG164" s="3227"/>
      <c r="AH164" s="3227"/>
      <c r="AI164" s="3227"/>
      <c r="AJ164" s="3227"/>
      <c r="AK164" s="3227"/>
      <c r="AL164" s="3227"/>
      <c r="AM164" s="3227"/>
      <c r="AN164" s="3227"/>
      <c r="AO164" s="1552">
        <v>43539</v>
      </c>
      <c r="AP164" s="1552">
        <v>43728</v>
      </c>
      <c r="AQ164" s="3260"/>
      <c r="AR164" s="1229"/>
      <c r="AS164" s="1229"/>
    </row>
    <row r="165" spans="1:45" s="1165" customFormat="1" ht="21.75" customHeight="1" x14ac:dyDescent="0.2">
      <c r="A165" s="3065"/>
      <c r="B165" s="3151"/>
      <c r="C165" s="3152"/>
      <c r="D165" s="1599">
        <v>27</v>
      </c>
      <c r="E165" s="1668" t="s">
        <v>1488</v>
      </c>
      <c r="F165" s="1669"/>
      <c r="G165" s="1669"/>
      <c r="H165" s="1669"/>
      <c r="I165" s="1669"/>
      <c r="J165" s="1669"/>
      <c r="K165" s="1669"/>
      <c r="L165" s="1669"/>
      <c r="M165" s="1669"/>
      <c r="N165" s="1669"/>
      <c r="O165" s="1669"/>
      <c r="P165" s="1669"/>
      <c r="Q165" s="1670"/>
      <c r="R165" s="1671"/>
      <c r="S165" s="1672"/>
      <c r="T165" s="1669"/>
      <c r="U165" s="1669"/>
      <c r="V165" s="1669"/>
      <c r="W165" s="1669"/>
      <c r="X165" s="1669"/>
      <c r="Y165" s="1669"/>
      <c r="Z165" s="1669"/>
      <c r="AA165" s="1669"/>
      <c r="AB165" s="1669"/>
      <c r="AC165" s="1669"/>
      <c r="AD165" s="1669"/>
      <c r="AE165" s="1669"/>
      <c r="AF165" s="1669"/>
      <c r="AG165" s="1669"/>
      <c r="AH165" s="1669"/>
      <c r="AI165" s="1669"/>
      <c r="AJ165" s="1669"/>
      <c r="AK165" s="1669"/>
      <c r="AL165" s="1669"/>
      <c r="AM165" s="1669"/>
      <c r="AN165" s="1669"/>
      <c r="AO165" s="1669"/>
      <c r="AP165" s="1669"/>
      <c r="AQ165" s="1673"/>
      <c r="AR165" s="1229"/>
      <c r="AS165" s="1229"/>
    </row>
    <row r="166" spans="1:45" s="1229" customFormat="1" ht="15" customHeight="1" x14ac:dyDescent="0.2">
      <c r="A166" s="3065"/>
      <c r="B166" s="3151"/>
      <c r="C166" s="3152"/>
      <c r="D166" s="3268"/>
      <c r="E166" s="3268"/>
      <c r="F166" s="3268"/>
      <c r="G166" s="1538">
        <v>86</v>
      </c>
      <c r="H166" s="191" t="s">
        <v>1525</v>
      </c>
      <c r="I166" s="191"/>
      <c r="J166" s="1576"/>
      <c r="K166" s="1577"/>
      <c r="L166" s="1578"/>
      <c r="M166" s="1579"/>
      <c r="N166" s="305"/>
      <c r="O166" s="306"/>
      <c r="P166" s="193"/>
      <c r="Q166" s="1580"/>
      <c r="R166" s="1581"/>
      <c r="S166" s="1578"/>
      <c r="T166" s="1577"/>
      <c r="U166" s="1577"/>
      <c r="V166" s="1581"/>
      <c r="W166" s="196"/>
      <c r="X166" s="1612"/>
      <c r="Y166" s="196"/>
      <c r="Z166" s="196"/>
      <c r="AA166" s="196"/>
      <c r="AB166" s="196"/>
      <c r="AC166" s="196"/>
      <c r="AD166" s="196"/>
      <c r="AE166" s="196"/>
      <c r="AF166" s="196"/>
      <c r="AG166" s="196"/>
      <c r="AH166" s="196"/>
      <c r="AI166" s="196"/>
      <c r="AJ166" s="196"/>
      <c r="AK166" s="196"/>
      <c r="AL166" s="196"/>
      <c r="AM166" s="196"/>
      <c r="AN166" s="196"/>
      <c r="AO166" s="196"/>
      <c r="AP166" s="196"/>
      <c r="AQ166" s="1613"/>
    </row>
    <row r="167" spans="1:45" s="1165" customFormat="1" ht="45.75" customHeight="1" x14ac:dyDescent="0.2">
      <c r="A167" s="3065"/>
      <c r="B167" s="3151"/>
      <c r="C167" s="3152"/>
      <c r="D167" s="3268"/>
      <c r="E167" s="3268"/>
      <c r="F167" s="3268"/>
      <c r="G167" s="1229"/>
      <c r="H167" s="1547"/>
      <c r="I167" s="1548"/>
      <c r="J167" s="3223">
        <v>255</v>
      </c>
      <c r="K167" s="3121" t="s">
        <v>1526</v>
      </c>
      <c r="L167" s="3121" t="s">
        <v>1527</v>
      </c>
      <c r="M167" s="3223">
        <v>12</v>
      </c>
      <c r="N167" s="3213" t="s">
        <v>1528</v>
      </c>
      <c r="O167" s="3164" t="s">
        <v>1529</v>
      </c>
      <c r="P167" s="3108" t="s">
        <v>1530</v>
      </c>
      <c r="Q167" s="3224">
        <f>SUM(V167:V170)/R167</f>
        <v>1</v>
      </c>
      <c r="R167" s="3271">
        <f>SUM(V167:V170)</f>
        <v>99372400</v>
      </c>
      <c r="S167" s="3121" t="s">
        <v>1531</v>
      </c>
      <c r="T167" s="3121" t="s">
        <v>1532</v>
      </c>
      <c r="U167" s="1674" t="s">
        <v>1533</v>
      </c>
      <c r="V167" s="1570">
        <v>40000000</v>
      </c>
      <c r="W167" s="1675" t="s">
        <v>61</v>
      </c>
      <c r="X167" s="1676" t="s">
        <v>360</v>
      </c>
      <c r="Y167" s="3201">
        <v>2138</v>
      </c>
      <c r="Z167" s="3201">
        <v>2062</v>
      </c>
      <c r="AA167" s="3201"/>
      <c r="AB167" s="3201"/>
      <c r="AC167" s="3201">
        <v>4200</v>
      </c>
      <c r="AD167" s="3201"/>
      <c r="AE167" s="3225"/>
      <c r="AF167" s="3201"/>
      <c r="AG167" s="3201"/>
      <c r="AH167" s="3201"/>
      <c r="AI167" s="3201"/>
      <c r="AJ167" s="3201"/>
      <c r="AK167" s="3201"/>
      <c r="AL167" s="3201"/>
      <c r="AM167" s="3201"/>
      <c r="AN167" s="3201">
        <f>+Y167+Z167</f>
        <v>4200</v>
      </c>
      <c r="AO167" s="1586">
        <v>43480</v>
      </c>
      <c r="AP167" s="1586">
        <v>43646</v>
      </c>
      <c r="AQ167" s="3208" t="s">
        <v>1347</v>
      </c>
      <c r="AR167" s="1229"/>
      <c r="AS167" s="1229"/>
    </row>
    <row r="168" spans="1:45" s="1165" customFormat="1" ht="33" customHeight="1" x14ac:dyDescent="0.2">
      <c r="A168" s="3065"/>
      <c r="B168" s="3151"/>
      <c r="C168" s="3152"/>
      <c r="D168" s="3268"/>
      <c r="E168" s="3268"/>
      <c r="F168" s="3268"/>
      <c r="G168" s="1229"/>
      <c r="H168" s="1554"/>
      <c r="I168" s="1555"/>
      <c r="J168" s="3223"/>
      <c r="K168" s="3121"/>
      <c r="L168" s="3121"/>
      <c r="M168" s="3223"/>
      <c r="N168" s="3213"/>
      <c r="O168" s="3164"/>
      <c r="P168" s="3108"/>
      <c r="Q168" s="3224"/>
      <c r="R168" s="3271"/>
      <c r="S168" s="3121"/>
      <c r="T168" s="3121"/>
      <c r="U168" s="1677" t="s">
        <v>1534</v>
      </c>
      <c r="V168" s="1570">
        <v>18372400</v>
      </c>
      <c r="W168" s="1678" t="s">
        <v>1535</v>
      </c>
      <c r="X168" s="1559" t="s">
        <v>1536</v>
      </c>
      <c r="Y168" s="3202"/>
      <c r="Z168" s="3202"/>
      <c r="AA168" s="3202"/>
      <c r="AB168" s="3202"/>
      <c r="AC168" s="3202"/>
      <c r="AD168" s="3202"/>
      <c r="AE168" s="3226"/>
      <c r="AF168" s="3202"/>
      <c r="AG168" s="3202"/>
      <c r="AH168" s="3202"/>
      <c r="AI168" s="3202"/>
      <c r="AJ168" s="3202"/>
      <c r="AK168" s="3202"/>
      <c r="AL168" s="3202"/>
      <c r="AM168" s="3202"/>
      <c r="AN168" s="3202"/>
      <c r="AO168" s="1552">
        <v>43784</v>
      </c>
      <c r="AP168" s="1552">
        <v>43814</v>
      </c>
      <c r="AQ168" s="3219"/>
      <c r="AR168" s="1229"/>
      <c r="AS168" s="1229"/>
    </row>
    <row r="169" spans="1:45" s="1165" customFormat="1" ht="40.5" customHeight="1" x14ac:dyDescent="0.2">
      <c r="A169" s="3065"/>
      <c r="B169" s="3151"/>
      <c r="C169" s="3152"/>
      <c r="D169" s="3268"/>
      <c r="E169" s="3268"/>
      <c r="F169" s="3268"/>
      <c r="G169" s="1229"/>
      <c r="H169" s="1554"/>
      <c r="I169" s="1555"/>
      <c r="J169" s="3223"/>
      <c r="K169" s="3121"/>
      <c r="L169" s="3121"/>
      <c r="M169" s="3223"/>
      <c r="N169" s="3213"/>
      <c r="O169" s="3164"/>
      <c r="P169" s="3108"/>
      <c r="Q169" s="3224"/>
      <c r="R169" s="3271"/>
      <c r="S169" s="3121"/>
      <c r="T169" s="3121"/>
      <c r="U169" s="1674" t="s">
        <v>1537</v>
      </c>
      <c r="V169" s="1570">
        <v>5000000</v>
      </c>
      <c r="W169" s="1678" t="s">
        <v>1535</v>
      </c>
      <c r="X169" s="1559" t="s">
        <v>1536</v>
      </c>
      <c r="Y169" s="3202"/>
      <c r="Z169" s="3202"/>
      <c r="AA169" s="3202"/>
      <c r="AB169" s="3202"/>
      <c r="AC169" s="3202"/>
      <c r="AD169" s="3202"/>
      <c r="AE169" s="3226"/>
      <c r="AF169" s="3202"/>
      <c r="AG169" s="3202"/>
      <c r="AH169" s="3202"/>
      <c r="AI169" s="3202"/>
      <c r="AJ169" s="3202"/>
      <c r="AK169" s="3202"/>
      <c r="AL169" s="3202"/>
      <c r="AM169" s="3202"/>
      <c r="AN169" s="3202"/>
      <c r="AO169" s="1552">
        <v>43646</v>
      </c>
      <c r="AP169" s="1552">
        <v>43784</v>
      </c>
      <c r="AQ169" s="3219"/>
      <c r="AR169" s="1229"/>
      <c r="AS169" s="1229"/>
    </row>
    <row r="170" spans="1:45" s="1165" customFormat="1" ht="50.25" customHeight="1" x14ac:dyDescent="0.2">
      <c r="A170" s="3065"/>
      <c r="B170" s="3151"/>
      <c r="C170" s="3152"/>
      <c r="D170" s="3268"/>
      <c r="E170" s="3268"/>
      <c r="F170" s="3268"/>
      <c r="G170" s="1229"/>
      <c r="H170" s="1554"/>
      <c r="I170" s="1555"/>
      <c r="J170" s="3223"/>
      <c r="K170" s="3121"/>
      <c r="L170" s="3121"/>
      <c r="M170" s="3223"/>
      <c r="N170" s="3213"/>
      <c r="O170" s="3164"/>
      <c r="P170" s="3108"/>
      <c r="Q170" s="3224"/>
      <c r="R170" s="3271"/>
      <c r="S170" s="3121"/>
      <c r="T170" s="3121"/>
      <c r="U170" s="1557" t="s">
        <v>1538</v>
      </c>
      <c r="V170" s="1570">
        <v>36000000</v>
      </c>
      <c r="W170" s="1679" t="s">
        <v>1535</v>
      </c>
      <c r="X170" s="1643" t="s">
        <v>1536</v>
      </c>
      <c r="Y170" s="3202"/>
      <c r="Z170" s="3202"/>
      <c r="AA170" s="3202"/>
      <c r="AB170" s="3202"/>
      <c r="AC170" s="3202"/>
      <c r="AD170" s="3202"/>
      <c r="AE170" s="3227"/>
      <c r="AF170" s="3202"/>
      <c r="AG170" s="3202"/>
      <c r="AH170" s="3202"/>
      <c r="AI170" s="3202"/>
      <c r="AJ170" s="3202"/>
      <c r="AK170" s="3202"/>
      <c r="AL170" s="3202"/>
      <c r="AM170" s="3202"/>
      <c r="AN170" s="3202"/>
      <c r="AO170" s="1552">
        <v>43539</v>
      </c>
      <c r="AP170" s="1552">
        <v>43758</v>
      </c>
      <c r="AQ170" s="3219"/>
      <c r="AR170" s="1229"/>
      <c r="AS170" s="1229"/>
    </row>
    <row r="171" spans="1:45" s="1526" customFormat="1" ht="15" customHeight="1" x14ac:dyDescent="0.2">
      <c r="A171" s="3065"/>
      <c r="B171" s="3151"/>
      <c r="C171" s="3152"/>
      <c r="D171" s="3268"/>
      <c r="E171" s="3268"/>
      <c r="F171" s="3268"/>
      <c r="G171" s="1522"/>
      <c r="H171" s="326"/>
      <c r="I171" s="326"/>
      <c r="J171" s="1680"/>
      <c r="K171" s="1681"/>
      <c r="L171" s="1682"/>
      <c r="M171" s="1683"/>
      <c r="N171" s="279"/>
      <c r="O171" s="278"/>
      <c r="P171" s="1519"/>
      <c r="Q171" s="1684"/>
      <c r="R171" s="1685"/>
      <c r="S171" s="1682"/>
      <c r="T171" s="1681"/>
      <c r="U171" s="1681"/>
      <c r="V171" s="1685"/>
      <c r="W171" s="1521"/>
      <c r="X171" s="1686"/>
      <c r="Y171" s="1521"/>
      <c r="Z171" s="1521"/>
      <c r="AA171" s="1521"/>
      <c r="AB171" s="1521"/>
      <c r="AC171" s="1521"/>
      <c r="AD171" s="1521"/>
      <c r="AE171" s="1521"/>
      <c r="AF171" s="1521"/>
      <c r="AG171" s="1521"/>
      <c r="AH171" s="1521"/>
      <c r="AI171" s="1521"/>
      <c r="AJ171" s="1521"/>
      <c r="AK171" s="1521"/>
      <c r="AL171" s="1521"/>
      <c r="AM171" s="1521"/>
      <c r="AN171" s="1521"/>
      <c r="AO171" s="1521"/>
      <c r="AP171" s="1521"/>
      <c r="AQ171" s="1687"/>
      <c r="AR171" s="1525"/>
      <c r="AS171" s="1525"/>
    </row>
    <row r="172" spans="1:45" s="1229" customFormat="1" ht="15" customHeight="1" x14ac:dyDescent="0.2">
      <c r="A172" s="3065"/>
      <c r="B172" s="3151"/>
      <c r="C172" s="3152"/>
      <c r="D172" s="3268"/>
      <c r="E172" s="3268"/>
      <c r="F172" s="3268"/>
      <c r="G172" s="1528"/>
      <c r="H172" s="1528"/>
      <c r="I172" s="1528"/>
      <c r="J172" s="1529"/>
      <c r="K172" s="1530"/>
      <c r="L172" s="1531"/>
      <c r="M172" s="1528"/>
      <c r="N172" s="1532"/>
      <c r="O172" s="1529"/>
      <c r="P172" s="1531"/>
      <c r="Q172" s="1688"/>
      <c r="R172" s="1689"/>
      <c r="S172" s="1531"/>
      <c r="T172" s="1530"/>
      <c r="U172" s="1530"/>
      <c r="V172" s="1689"/>
      <c r="W172" s="1534"/>
      <c r="X172" s="1644"/>
      <c r="Y172" s="1534"/>
      <c r="Z172" s="1534"/>
      <c r="AA172" s="1534"/>
      <c r="AB172" s="1534"/>
      <c r="AC172" s="1534"/>
      <c r="AD172" s="1534"/>
      <c r="AE172" s="1534"/>
      <c r="AF172" s="1534"/>
      <c r="AG172" s="1534"/>
      <c r="AH172" s="1534"/>
      <c r="AI172" s="1534"/>
      <c r="AJ172" s="1534"/>
      <c r="AK172" s="1534"/>
      <c r="AL172" s="1534"/>
      <c r="AM172" s="1531"/>
      <c r="AN172" s="1531"/>
      <c r="AO172" s="1531"/>
      <c r="AP172" s="1531"/>
      <c r="AQ172" s="1537"/>
    </row>
    <row r="173" spans="1:45" s="1229" customFormat="1" ht="15" customHeight="1" x14ac:dyDescent="0.2">
      <c r="A173" s="3065"/>
      <c r="B173" s="3151"/>
      <c r="C173" s="3152"/>
      <c r="D173" s="3268"/>
      <c r="E173" s="3268"/>
      <c r="F173" s="3268"/>
      <c r="G173" s="1690">
        <v>84</v>
      </c>
      <c r="H173" s="191" t="s">
        <v>1539</v>
      </c>
      <c r="I173" s="191"/>
      <c r="J173" s="306"/>
      <c r="K173" s="1691"/>
      <c r="L173" s="193"/>
      <c r="M173" s="191"/>
      <c r="N173" s="305"/>
      <c r="O173" s="306"/>
      <c r="P173" s="193"/>
      <c r="Q173" s="1692"/>
      <c r="R173" s="1693"/>
      <c r="S173" s="193"/>
      <c r="T173" s="1691"/>
      <c r="U173" s="1691"/>
      <c r="V173" s="1693"/>
      <c r="W173" s="196"/>
      <c r="X173" s="1612"/>
      <c r="Y173" s="196"/>
      <c r="Z173" s="196"/>
      <c r="AA173" s="196"/>
      <c r="AB173" s="196"/>
      <c r="AC173" s="196"/>
      <c r="AD173" s="196"/>
      <c r="AE173" s="196"/>
      <c r="AF173" s="196"/>
      <c r="AG173" s="196"/>
      <c r="AH173" s="196"/>
      <c r="AI173" s="196"/>
      <c r="AJ173" s="196"/>
      <c r="AK173" s="196"/>
      <c r="AL173" s="196"/>
      <c r="AM173" s="196"/>
      <c r="AN173" s="196"/>
      <c r="AO173" s="196"/>
      <c r="AP173" s="196"/>
      <c r="AQ173" s="1613"/>
    </row>
    <row r="174" spans="1:45" s="1165" customFormat="1" ht="57.75" customHeight="1" x14ac:dyDescent="0.25">
      <c r="A174" s="3065"/>
      <c r="B174" s="3151"/>
      <c r="C174" s="3152"/>
      <c r="D174" s="3268"/>
      <c r="E174" s="3268"/>
      <c r="F174" s="3268"/>
      <c r="G174" s="1694"/>
      <c r="H174" s="1695"/>
      <c r="I174" s="1616"/>
      <c r="J174" s="3146">
        <v>247</v>
      </c>
      <c r="K174" s="3142" t="s">
        <v>1540</v>
      </c>
      <c r="L174" s="3142" t="s">
        <v>1541</v>
      </c>
      <c r="M174" s="3250">
        <v>1</v>
      </c>
      <c r="N174" s="3256" t="s">
        <v>1542</v>
      </c>
      <c r="O174" s="3164" t="s">
        <v>1543</v>
      </c>
      <c r="P174" s="3142" t="s">
        <v>1544</v>
      </c>
      <c r="Q174" s="3258">
        <f>SUM(V174:V178)/R174</f>
        <v>1</v>
      </c>
      <c r="R174" s="3217">
        <f>SUM(V174:V178)</f>
        <v>49687000</v>
      </c>
      <c r="S174" s="3142" t="s">
        <v>1545</v>
      </c>
      <c r="T174" s="3108" t="s">
        <v>1546</v>
      </c>
      <c r="U174" s="1696" t="s">
        <v>1547</v>
      </c>
      <c r="V174" s="1570">
        <v>40387000</v>
      </c>
      <c r="W174" s="1655">
        <v>20</v>
      </c>
      <c r="X174" s="1559" t="s">
        <v>62</v>
      </c>
      <c r="Y174" s="3272">
        <v>357</v>
      </c>
      <c r="Z174" s="3272">
        <v>343</v>
      </c>
      <c r="AA174" s="3274"/>
      <c r="AB174" s="3274"/>
      <c r="AC174" s="3274">
        <v>700</v>
      </c>
      <c r="AD174" s="3274"/>
      <c r="AE174" s="3275"/>
      <c r="AF174" s="3274"/>
      <c r="AG174" s="3274"/>
      <c r="AH174" s="3274"/>
      <c r="AI174" s="3274"/>
      <c r="AJ174" s="3274"/>
      <c r="AK174" s="3274"/>
      <c r="AL174" s="3274"/>
      <c r="AM174" s="3274"/>
      <c r="AN174" s="3274">
        <v>700</v>
      </c>
      <c r="AO174" s="1586">
        <v>43480</v>
      </c>
      <c r="AP174" s="1586">
        <v>43281</v>
      </c>
      <c r="AQ174" s="3208" t="s">
        <v>1347</v>
      </c>
      <c r="AR174" s="1229"/>
      <c r="AS174" s="1229"/>
    </row>
    <row r="175" spans="1:45" s="1165" customFormat="1" ht="34.5" customHeight="1" x14ac:dyDescent="0.25">
      <c r="A175" s="3065"/>
      <c r="B175" s="3151"/>
      <c r="C175" s="3152"/>
      <c r="D175" s="3268"/>
      <c r="E175" s="3268"/>
      <c r="F175" s="3268"/>
      <c r="G175" s="1621"/>
      <c r="H175" s="1619"/>
      <c r="I175" s="1621"/>
      <c r="J175" s="3146"/>
      <c r="K175" s="3142"/>
      <c r="L175" s="3142"/>
      <c r="M175" s="3250"/>
      <c r="N175" s="3256"/>
      <c r="O175" s="3164"/>
      <c r="P175" s="3142"/>
      <c r="Q175" s="3258"/>
      <c r="R175" s="3217"/>
      <c r="S175" s="3142"/>
      <c r="T175" s="3108"/>
      <c r="U175" s="1697" t="s">
        <v>1548</v>
      </c>
      <c r="V175" s="1570">
        <v>3300000</v>
      </c>
      <c r="W175" s="1641">
        <v>20</v>
      </c>
      <c r="X175" s="1559" t="s">
        <v>62</v>
      </c>
      <c r="Y175" s="3273"/>
      <c r="Z175" s="3273"/>
      <c r="AA175" s="3205"/>
      <c r="AB175" s="3205"/>
      <c r="AC175" s="3205"/>
      <c r="AD175" s="3205"/>
      <c r="AE175" s="3276"/>
      <c r="AF175" s="3205"/>
      <c r="AG175" s="3205"/>
      <c r="AH175" s="3205"/>
      <c r="AI175" s="3205"/>
      <c r="AJ175" s="3205"/>
      <c r="AK175" s="3205"/>
      <c r="AL175" s="3205"/>
      <c r="AM175" s="3205"/>
      <c r="AN175" s="3205"/>
      <c r="AO175" s="1552">
        <v>43539</v>
      </c>
      <c r="AP175" s="1552">
        <v>43697</v>
      </c>
      <c r="AQ175" s="3219"/>
      <c r="AR175" s="1229"/>
      <c r="AS175" s="1229"/>
    </row>
    <row r="176" spans="1:45" s="1165" customFormat="1" ht="45" customHeight="1" x14ac:dyDescent="0.25">
      <c r="A176" s="3065"/>
      <c r="B176" s="3151"/>
      <c r="C176" s="3152"/>
      <c r="D176" s="3268"/>
      <c r="E176" s="3268"/>
      <c r="F176" s="3268"/>
      <c r="G176" s="1621"/>
      <c r="H176" s="1619"/>
      <c r="I176" s="1621"/>
      <c r="J176" s="3146"/>
      <c r="K176" s="3142"/>
      <c r="L176" s="3142"/>
      <c r="M176" s="3250"/>
      <c r="N176" s="3256"/>
      <c r="O176" s="3164"/>
      <c r="P176" s="3142"/>
      <c r="Q176" s="3258"/>
      <c r="R176" s="3217"/>
      <c r="S176" s="3142"/>
      <c r="T176" s="3108"/>
      <c r="U176" s="1697" t="s">
        <v>1549</v>
      </c>
      <c r="V176" s="1570">
        <v>3000000</v>
      </c>
      <c r="W176" s="1641">
        <v>20</v>
      </c>
      <c r="X176" s="1559" t="s">
        <v>62</v>
      </c>
      <c r="Y176" s="3273"/>
      <c r="Z176" s="3273"/>
      <c r="AA176" s="3205"/>
      <c r="AB176" s="3205"/>
      <c r="AC176" s="3205"/>
      <c r="AD176" s="3205"/>
      <c r="AE176" s="3276"/>
      <c r="AF176" s="3205"/>
      <c r="AG176" s="3205"/>
      <c r="AH176" s="3205"/>
      <c r="AI176" s="3205"/>
      <c r="AJ176" s="3205"/>
      <c r="AK176" s="3205"/>
      <c r="AL176" s="3205"/>
      <c r="AM176" s="3205"/>
      <c r="AN176" s="3205"/>
      <c r="AO176" s="1552">
        <v>43539</v>
      </c>
      <c r="AP176" s="1552">
        <v>43690</v>
      </c>
      <c r="AQ176" s="3219"/>
      <c r="AR176" s="1229"/>
      <c r="AS176" s="1229"/>
    </row>
    <row r="177" spans="1:45" s="1165" customFormat="1" ht="78.75" customHeight="1" x14ac:dyDescent="0.25">
      <c r="A177" s="3065"/>
      <c r="B177" s="3151"/>
      <c r="C177" s="3152"/>
      <c r="D177" s="3268"/>
      <c r="E177" s="3268"/>
      <c r="F177" s="3268"/>
      <c r="G177" s="1621"/>
      <c r="H177" s="1619"/>
      <c r="I177" s="1621"/>
      <c r="J177" s="3146"/>
      <c r="K177" s="3142"/>
      <c r="L177" s="3142"/>
      <c r="M177" s="3250"/>
      <c r="N177" s="3256"/>
      <c r="O177" s="3164"/>
      <c r="P177" s="3142"/>
      <c r="Q177" s="3258"/>
      <c r="R177" s="3217"/>
      <c r="S177" s="3142"/>
      <c r="T177" s="3108"/>
      <c r="U177" s="1698" t="s">
        <v>1550</v>
      </c>
      <c r="V177" s="1570">
        <v>2000000</v>
      </c>
      <c r="W177" s="1641">
        <v>20</v>
      </c>
      <c r="X177" s="1559" t="s">
        <v>62</v>
      </c>
      <c r="Y177" s="3273"/>
      <c r="Z177" s="3273"/>
      <c r="AA177" s="3205"/>
      <c r="AB177" s="3205"/>
      <c r="AC177" s="3205"/>
      <c r="AD177" s="3205"/>
      <c r="AE177" s="3276"/>
      <c r="AF177" s="3205"/>
      <c r="AG177" s="3205"/>
      <c r="AH177" s="3205"/>
      <c r="AI177" s="3205"/>
      <c r="AJ177" s="3205"/>
      <c r="AK177" s="3205"/>
      <c r="AL177" s="3205"/>
      <c r="AM177" s="3205"/>
      <c r="AN177" s="3205"/>
      <c r="AO177" s="1552">
        <v>43539</v>
      </c>
      <c r="AP177" s="1564">
        <v>43688</v>
      </c>
      <c r="AQ177" s="3219"/>
      <c r="AR177" s="1229"/>
      <c r="AS177" s="1229"/>
    </row>
    <row r="178" spans="1:45" s="1165" customFormat="1" ht="30.75" customHeight="1" x14ac:dyDescent="0.25">
      <c r="A178" s="3066"/>
      <c r="B178" s="3153"/>
      <c r="C178" s="3154"/>
      <c r="D178" s="3268"/>
      <c r="E178" s="3268"/>
      <c r="F178" s="3268"/>
      <c r="G178" s="1629"/>
      <c r="H178" s="1627"/>
      <c r="I178" s="1629"/>
      <c r="J178" s="3102"/>
      <c r="K178" s="3081"/>
      <c r="L178" s="3081"/>
      <c r="M178" s="3240"/>
      <c r="N178" s="3269"/>
      <c r="O178" s="3270"/>
      <c r="P178" s="3081"/>
      <c r="Q178" s="3259"/>
      <c r="R178" s="3218"/>
      <c r="S178" s="3081"/>
      <c r="T178" s="3211"/>
      <c r="U178" s="354" t="s">
        <v>1551</v>
      </c>
      <c r="V178" s="1570">
        <v>1000000</v>
      </c>
      <c r="W178" s="1642">
        <v>20</v>
      </c>
      <c r="X178" s="1559" t="s">
        <v>62</v>
      </c>
      <c r="Y178" s="3273"/>
      <c r="Z178" s="3273"/>
      <c r="AA178" s="3205"/>
      <c r="AB178" s="3205"/>
      <c r="AC178" s="3205"/>
      <c r="AD178" s="3205"/>
      <c r="AE178" s="3277"/>
      <c r="AF178" s="3205"/>
      <c r="AG178" s="3205"/>
      <c r="AH178" s="3205"/>
      <c r="AI178" s="3205"/>
      <c r="AJ178" s="3205"/>
      <c r="AK178" s="3205"/>
      <c r="AL178" s="3205"/>
      <c r="AM178" s="3205"/>
      <c r="AN178" s="3205"/>
      <c r="AO178" s="1552">
        <v>43539</v>
      </c>
      <c r="AP178" s="1552">
        <v>43666</v>
      </c>
      <c r="AQ178" s="3219"/>
      <c r="AR178" s="1229"/>
      <c r="AS178" s="1229"/>
    </row>
    <row r="179" spans="1:45" s="1165" customFormat="1" ht="32.25" customHeight="1" x14ac:dyDescent="0.25">
      <c r="A179" s="1699"/>
      <c r="B179" s="1700"/>
      <c r="C179" s="1700"/>
      <c r="D179" s="1701"/>
      <c r="E179" s="1701"/>
      <c r="F179" s="1701"/>
      <c r="G179" s="1702"/>
      <c r="H179" s="1702"/>
      <c r="I179" s="1702"/>
      <c r="J179" s="1703"/>
      <c r="K179" s="1704"/>
      <c r="L179" s="1704"/>
      <c r="M179" s="1705"/>
      <c r="N179" s="1706"/>
      <c r="O179" s="1707"/>
      <c r="P179" s="1704"/>
      <c r="Q179" s="1708"/>
      <c r="R179" s="363">
        <f>SUM(R13:R178)</f>
        <v>9383416722</v>
      </c>
      <c r="S179" s="1709"/>
      <c r="T179" s="1710"/>
      <c r="U179" s="1711"/>
      <c r="V179" s="363">
        <f>SUM(V13:V178)</f>
        <v>9383416722</v>
      </c>
      <c r="W179" s="1712"/>
      <c r="X179" s="1705"/>
      <c r="Y179" s="1713"/>
      <c r="Z179" s="1713"/>
      <c r="AA179" s="1714"/>
      <c r="AB179" s="1714"/>
      <c r="AC179" s="1714"/>
      <c r="AD179" s="1714"/>
      <c r="AE179" s="1714"/>
      <c r="AF179" s="1714"/>
      <c r="AG179" s="1714"/>
      <c r="AH179" s="1714"/>
      <c r="AI179" s="1714"/>
      <c r="AJ179" s="1714"/>
      <c r="AK179" s="1714"/>
      <c r="AL179" s="1714"/>
      <c r="AM179" s="1714"/>
      <c r="AN179" s="1714"/>
      <c r="AO179" s="1715"/>
      <c r="AP179" s="1715"/>
      <c r="AQ179" s="1716"/>
    </row>
    <row r="180" spans="1:45" ht="27" customHeight="1" x14ac:dyDescent="0.2">
      <c r="Q180" s="1722"/>
      <c r="R180" s="1723"/>
      <c r="S180" s="1724"/>
    </row>
    <row r="181" spans="1:45" ht="27" customHeight="1" x14ac:dyDescent="0.2">
      <c r="R181" s="1732" t="s">
        <v>1552</v>
      </c>
    </row>
    <row r="182" spans="1:45" ht="27" customHeight="1" x14ac:dyDescent="0.2">
      <c r="R182" s="1733" t="s">
        <v>1553</v>
      </c>
    </row>
  </sheetData>
  <sheetProtection password="F3F4" sheet="1" objects="1" scenarios="1"/>
  <mergeCells count="445">
    <mergeCell ref="AL174:AL178"/>
    <mergeCell ref="AM174:AM178"/>
    <mergeCell ref="AN174:AN178"/>
    <mergeCell ref="AQ174:AQ178"/>
    <mergeCell ref="AF174:AF178"/>
    <mergeCell ref="AG174:AG178"/>
    <mergeCell ref="AH174:AH178"/>
    <mergeCell ref="AI174:AI178"/>
    <mergeCell ref="AJ174:AJ178"/>
    <mergeCell ref="AK174:AK178"/>
    <mergeCell ref="Z174:Z178"/>
    <mergeCell ref="AA174:AA178"/>
    <mergeCell ref="AB174:AB178"/>
    <mergeCell ref="AC174:AC178"/>
    <mergeCell ref="AD174:AD178"/>
    <mergeCell ref="AE174:AE178"/>
    <mergeCell ref="P174:P178"/>
    <mergeCell ref="Q174:Q178"/>
    <mergeCell ref="R174:R178"/>
    <mergeCell ref="S174:S178"/>
    <mergeCell ref="T174:T178"/>
    <mergeCell ref="Y174:Y178"/>
    <mergeCell ref="T167:T170"/>
    <mergeCell ref="Y167:Y170"/>
    <mergeCell ref="Z167:Z170"/>
    <mergeCell ref="AA167:AA170"/>
    <mergeCell ref="AB167:AB170"/>
    <mergeCell ref="AC167:AC170"/>
    <mergeCell ref="N167:N170"/>
    <mergeCell ref="O167:O170"/>
    <mergeCell ref="P167:P170"/>
    <mergeCell ref="Q167:Q170"/>
    <mergeCell ref="R167:R170"/>
    <mergeCell ref="S167:S170"/>
    <mergeCell ref="AM167:AM170"/>
    <mergeCell ref="AN167:AN170"/>
    <mergeCell ref="AQ167:AQ170"/>
    <mergeCell ref="AD167:AD170"/>
    <mergeCell ref="AE167:AE170"/>
    <mergeCell ref="AF167:AF170"/>
    <mergeCell ref="AG167:AG170"/>
    <mergeCell ref="AH167:AH170"/>
    <mergeCell ref="AI167:AI170"/>
    <mergeCell ref="AJ167:AJ170"/>
    <mergeCell ref="AK167:AK170"/>
    <mergeCell ref="AL167:AL170"/>
    <mergeCell ref="J161:J164"/>
    <mergeCell ref="K161:K164"/>
    <mergeCell ref="L161:L164"/>
    <mergeCell ref="M161:M164"/>
    <mergeCell ref="Q161:Q164"/>
    <mergeCell ref="D166:F178"/>
    <mergeCell ref="J167:J170"/>
    <mergeCell ref="K167:K170"/>
    <mergeCell ref="L167:L170"/>
    <mergeCell ref="M167:M170"/>
    <mergeCell ref="J174:J178"/>
    <mergeCell ref="K174:K178"/>
    <mergeCell ref="L174:L178"/>
    <mergeCell ref="M174:M178"/>
    <mergeCell ref="N174:N178"/>
    <mergeCell ref="O174:O178"/>
    <mergeCell ref="J152:J156"/>
    <mergeCell ref="K152:K156"/>
    <mergeCell ref="L152:L156"/>
    <mergeCell ref="M152:M156"/>
    <mergeCell ref="Q152:Q156"/>
    <mergeCell ref="J158:J160"/>
    <mergeCell ref="K158:K160"/>
    <mergeCell ref="L158:L160"/>
    <mergeCell ref="M158:M160"/>
    <mergeCell ref="Q158:Q160"/>
    <mergeCell ref="AQ138:AQ164"/>
    <mergeCell ref="U140:U141"/>
    <mergeCell ref="AR140:AR147"/>
    <mergeCell ref="U142:U143"/>
    <mergeCell ref="U144:U145"/>
    <mergeCell ref="U148:U149"/>
    <mergeCell ref="U150:U151"/>
    <mergeCell ref="U158:U159"/>
    <mergeCell ref="AI138:AI164"/>
    <mergeCell ref="AJ138:AJ164"/>
    <mergeCell ref="AK138:AK164"/>
    <mergeCell ref="AL138:AL164"/>
    <mergeCell ref="AM138:AM164"/>
    <mergeCell ref="AN138:AN164"/>
    <mergeCell ref="AC138:AC164"/>
    <mergeCell ref="AD138:AD164"/>
    <mergeCell ref="AE138:AE164"/>
    <mergeCell ref="AF138:AF164"/>
    <mergeCell ref="AG138:AG164"/>
    <mergeCell ref="AH138:AH164"/>
    <mergeCell ref="L138:L151"/>
    <mergeCell ref="M138:M151"/>
    <mergeCell ref="T138:T164"/>
    <mergeCell ref="U138:U139"/>
    <mergeCell ref="Y138:Y164"/>
    <mergeCell ref="Z138:Z164"/>
    <mergeCell ref="AA138:AA164"/>
    <mergeCell ref="AB138:AB164"/>
    <mergeCell ref="N138:N164"/>
    <mergeCell ref="O138:O164"/>
    <mergeCell ref="P138:P164"/>
    <mergeCell ref="Q138:Q151"/>
    <mergeCell ref="R138:R164"/>
    <mergeCell ref="S138:S164"/>
    <mergeCell ref="AK132:AK135"/>
    <mergeCell ref="AL132:AL135"/>
    <mergeCell ref="AM132:AM135"/>
    <mergeCell ref="AN132:AN135"/>
    <mergeCell ref="AQ132:AQ135"/>
    <mergeCell ref="AR133:AR135"/>
    <mergeCell ref="AE132:AE135"/>
    <mergeCell ref="AF132:AF135"/>
    <mergeCell ref="AG132:AG135"/>
    <mergeCell ref="AH132:AH135"/>
    <mergeCell ref="AI132:AI135"/>
    <mergeCell ref="AJ132:AJ135"/>
    <mergeCell ref="AB132:AB135"/>
    <mergeCell ref="AC132:AC135"/>
    <mergeCell ref="AD132:AD135"/>
    <mergeCell ref="O132:O135"/>
    <mergeCell ref="P132:P135"/>
    <mergeCell ref="Q132:Q133"/>
    <mergeCell ref="R132:R135"/>
    <mergeCell ref="S132:S135"/>
    <mergeCell ref="T132:T135"/>
    <mergeCell ref="Q134:Q135"/>
    <mergeCell ref="AR116:AR118"/>
    <mergeCell ref="J118:J122"/>
    <mergeCell ref="K118:K122"/>
    <mergeCell ref="L118:L122"/>
    <mergeCell ref="M118:M122"/>
    <mergeCell ref="Q118:Q122"/>
    <mergeCell ref="AJ115:AJ130"/>
    <mergeCell ref="AK115:AK130"/>
    <mergeCell ref="AL115:AL130"/>
    <mergeCell ref="AM115:AM130"/>
    <mergeCell ref="AN115:AN130"/>
    <mergeCell ref="AQ115:AQ130"/>
    <mergeCell ref="AD115:AD130"/>
    <mergeCell ref="AE115:AE130"/>
    <mergeCell ref="AF115:AF130"/>
    <mergeCell ref="AG115:AG130"/>
    <mergeCell ref="AH115:AH130"/>
    <mergeCell ref="AI115:AI130"/>
    <mergeCell ref="T115:T130"/>
    <mergeCell ref="Y115:Y130"/>
    <mergeCell ref="Z115:Z130"/>
    <mergeCell ref="AA115:AA130"/>
    <mergeCell ref="AB115:AB130"/>
    <mergeCell ref="J124:J130"/>
    <mergeCell ref="AC115:AC130"/>
    <mergeCell ref="D114:F135"/>
    <mergeCell ref="N115:N130"/>
    <mergeCell ref="O115:O130"/>
    <mergeCell ref="P115:P130"/>
    <mergeCell ref="R115:R130"/>
    <mergeCell ref="S115:S130"/>
    <mergeCell ref="J116:J117"/>
    <mergeCell ref="K116:K117"/>
    <mergeCell ref="L116:L117"/>
    <mergeCell ref="M116:M117"/>
    <mergeCell ref="Q116:Q117"/>
    <mergeCell ref="K124:K130"/>
    <mergeCell ref="L124:L130"/>
    <mergeCell ref="M124:M130"/>
    <mergeCell ref="Q124:Q130"/>
    <mergeCell ref="J132:J133"/>
    <mergeCell ref="K132:K133"/>
    <mergeCell ref="L132:L133"/>
    <mergeCell ref="M132:M133"/>
    <mergeCell ref="N132:N135"/>
    <mergeCell ref="Y132:Y135"/>
    <mergeCell ref="Z132:Z135"/>
    <mergeCell ref="AA132:AA135"/>
    <mergeCell ref="AL102:AL112"/>
    <mergeCell ref="AM102:AM112"/>
    <mergeCell ref="AN102:AN112"/>
    <mergeCell ref="AQ102:AQ112"/>
    <mergeCell ref="AR103:AR105"/>
    <mergeCell ref="J104:J112"/>
    <mergeCell ref="K104:K112"/>
    <mergeCell ref="L104:L112"/>
    <mergeCell ref="M104:M112"/>
    <mergeCell ref="Q104:Q112"/>
    <mergeCell ref="AF102:AF112"/>
    <mergeCell ref="AG102:AG112"/>
    <mergeCell ref="AH102:AH112"/>
    <mergeCell ref="AI102:AI112"/>
    <mergeCell ref="AJ102:AJ112"/>
    <mergeCell ref="AK102:AK112"/>
    <mergeCell ref="Z102:Z112"/>
    <mergeCell ref="AA102:AA112"/>
    <mergeCell ref="AB102:AB112"/>
    <mergeCell ref="AC102:AC112"/>
    <mergeCell ref="AD102:AD112"/>
    <mergeCell ref="AE102:AE112"/>
    <mergeCell ref="P102:P112"/>
    <mergeCell ref="Q102:Q103"/>
    <mergeCell ref="R102:R112"/>
    <mergeCell ref="S102:S112"/>
    <mergeCell ref="T102:T112"/>
    <mergeCell ref="Y102:Y112"/>
    <mergeCell ref="U109:U110"/>
    <mergeCell ref="U111:U112"/>
    <mergeCell ref="J102:J103"/>
    <mergeCell ref="K102:K103"/>
    <mergeCell ref="L102:L103"/>
    <mergeCell ref="M102:M103"/>
    <mergeCell ref="N102:N112"/>
    <mergeCell ref="O102:O112"/>
    <mergeCell ref="AR96:AR97"/>
    <mergeCell ref="J98:J100"/>
    <mergeCell ref="K98:K100"/>
    <mergeCell ref="L98:L100"/>
    <mergeCell ref="M98:M100"/>
    <mergeCell ref="Q98:Q100"/>
    <mergeCell ref="AK92:AK100"/>
    <mergeCell ref="AL92:AL100"/>
    <mergeCell ref="AM92:AM100"/>
    <mergeCell ref="AN92:AN100"/>
    <mergeCell ref="AQ92:AQ100"/>
    <mergeCell ref="J94:J97"/>
    <mergeCell ref="K94:K97"/>
    <mergeCell ref="L94:L97"/>
    <mergeCell ref="M94:M97"/>
    <mergeCell ref="Q94:Q97"/>
    <mergeCell ref="AE92:AE100"/>
    <mergeCell ref="AF92:AF100"/>
    <mergeCell ref="AG92:AG100"/>
    <mergeCell ref="AH92:AH100"/>
    <mergeCell ref="AI92:AI100"/>
    <mergeCell ref="AJ92:AJ100"/>
    <mergeCell ref="Y92:Y100"/>
    <mergeCell ref="Z92:Z100"/>
    <mergeCell ref="AA92:AA100"/>
    <mergeCell ref="AB92:AB100"/>
    <mergeCell ref="AC92:AC100"/>
    <mergeCell ref="AD92:AD100"/>
    <mergeCell ref="O92:O100"/>
    <mergeCell ref="P92:P100"/>
    <mergeCell ref="Q92:Q93"/>
    <mergeCell ref="R92:R100"/>
    <mergeCell ref="S92:S100"/>
    <mergeCell ref="T92:T100"/>
    <mergeCell ref="U94:U95"/>
    <mergeCell ref="Q79:Q84"/>
    <mergeCell ref="J85:J86"/>
    <mergeCell ref="K85:K86"/>
    <mergeCell ref="L85:L86"/>
    <mergeCell ref="M85:M86"/>
    <mergeCell ref="Q85:Q86"/>
    <mergeCell ref="AQ68:AQ90"/>
    <mergeCell ref="Z68:Z90"/>
    <mergeCell ref="AA68:AA90"/>
    <mergeCell ref="AB68:AB90"/>
    <mergeCell ref="M68:M76"/>
    <mergeCell ref="N68:N90"/>
    <mergeCell ref="O68:O90"/>
    <mergeCell ref="P68:P90"/>
    <mergeCell ref="Q68:Q76"/>
    <mergeCell ref="R68:R90"/>
    <mergeCell ref="J87:J90"/>
    <mergeCell ref="K87:K90"/>
    <mergeCell ref="L87:L90"/>
    <mergeCell ref="M87:M90"/>
    <mergeCell ref="Q87:Q90"/>
    <mergeCell ref="AR70:AR72"/>
    <mergeCell ref="U74:U75"/>
    <mergeCell ref="J77:J78"/>
    <mergeCell ref="K77:K78"/>
    <mergeCell ref="L77:L78"/>
    <mergeCell ref="M77:M78"/>
    <mergeCell ref="Q77:Q78"/>
    <mergeCell ref="J79:J84"/>
    <mergeCell ref="K79:K84"/>
    <mergeCell ref="AI68:AI90"/>
    <mergeCell ref="AJ68:AJ90"/>
    <mergeCell ref="AK68:AK90"/>
    <mergeCell ref="AL68:AL90"/>
    <mergeCell ref="AM68:AM90"/>
    <mergeCell ref="AN68:AN90"/>
    <mergeCell ref="AC68:AC90"/>
    <mergeCell ref="AD68:AD90"/>
    <mergeCell ref="AE68:AE90"/>
    <mergeCell ref="AF68:AF90"/>
    <mergeCell ref="AG68:AG90"/>
    <mergeCell ref="AH68:AH90"/>
    <mergeCell ref="S68:S90"/>
    <mergeCell ref="T68:T90"/>
    <mergeCell ref="Y68:Y90"/>
    <mergeCell ref="AR55:AR58"/>
    <mergeCell ref="J58:J64"/>
    <mergeCell ref="K58:K64"/>
    <mergeCell ref="L58:L64"/>
    <mergeCell ref="M58:M64"/>
    <mergeCell ref="Q58:Q64"/>
    <mergeCell ref="U58:U59"/>
    <mergeCell ref="U61:U62"/>
    <mergeCell ref="U63:U64"/>
    <mergeCell ref="AK51:AK65"/>
    <mergeCell ref="AL51:AL65"/>
    <mergeCell ref="AM51:AM65"/>
    <mergeCell ref="AN51:AN65"/>
    <mergeCell ref="AQ51:AQ65"/>
    <mergeCell ref="U53:U54"/>
    <mergeCell ref="U55:U56"/>
    <mergeCell ref="AE51:AE65"/>
    <mergeCell ref="AF51:AF65"/>
    <mergeCell ref="AG51:AG65"/>
    <mergeCell ref="AH51:AH65"/>
    <mergeCell ref="AI51:AI65"/>
    <mergeCell ref="AJ51:AJ65"/>
    <mergeCell ref="Y51:Y65"/>
    <mergeCell ref="Z51:Z65"/>
    <mergeCell ref="AA51:AA65"/>
    <mergeCell ref="AB51:AB65"/>
    <mergeCell ref="AC51:AC65"/>
    <mergeCell ref="AD51:AD65"/>
    <mergeCell ref="P51:P65"/>
    <mergeCell ref="Q51:Q57"/>
    <mergeCell ref="R51:R65"/>
    <mergeCell ref="S51:S65"/>
    <mergeCell ref="T51:T65"/>
    <mergeCell ref="U51:U52"/>
    <mergeCell ref="B49:C178"/>
    <mergeCell ref="J51:J57"/>
    <mergeCell ref="K51:K57"/>
    <mergeCell ref="L51:L57"/>
    <mergeCell ref="M51:M57"/>
    <mergeCell ref="O51:O65"/>
    <mergeCell ref="D67:F112"/>
    <mergeCell ref="J68:J76"/>
    <mergeCell ref="K68:K76"/>
    <mergeCell ref="L68:L76"/>
    <mergeCell ref="L79:L84"/>
    <mergeCell ref="M79:M84"/>
    <mergeCell ref="J92:J93"/>
    <mergeCell ref="K92:K93"/>
    <mergeCell ref="L92:L93"/>
    <mergeCell ref="M92:M93"/>
    <mergeCell ref="N92:N100"/>
    <mergeCell ref="J134:J135"/>
    <mergeCell ref="K134:K135"/>
    <mergeCell ref="L134:L135"/>
    <mergeCell ref="M134:M135"/>
    <mergeCell ref="D137:F164"/>
    <mergeCell ref="J138:J151"/>
    <mergeCell ref="K138:K151"/>
    <mergeCell ref="J20:J46"/>
    <mergeCell ref="K20:K46"/>
    <mergeCell ref="L20:L46"/>
    <mergeCell ref="M20:M46"/>
    <mergeCell ref="Q20:Q46"/>
    <mergeCell ref="U20:U21"/>
    <mergeCell ref="U22:U23"/>
    <mergeCell ref="U24:U25"/>
    <mergeCell ref="U27:U28"/>
    <mergeCell ref="U29:U30"/>
    <mergeCell ref="T13:T49"/>
    <mergeCell ref="U13:U14"/>
    <mergeCell ref="J16:J19"/>
    <mergeCell ref="K16:K19"/>
    <mergeCell ref="L16:L19"/>
    <mergeCell ref="M16:M19"/>
    <mergeCell ref="Q16:Q19"/>
    <mergeCell ref="U18:U19"/>
    <mergeCell ref="AG13:AG49"/>
    <mergeCell ref="AH13:AH49"/>
    <mergeCell ref="AI13:AI49"/>
    <mergeCell ref="AA13:AA49"/>
    <mergeCell ref="AB13:AB49"/>
    <mergeCell ref="AC13:AC49"/>
    <mergeCell ref="AD13:AD49"/>
    <mergeCell ref="AE13:AE49"/>
    <mergeCell ref="AF13:AF49"/>
    <mergeCell ref="R13:R49"/>
    <mergeCell ref="S13:S49"/>
    <mergeCell ref="U41:U42"/>
    <mergeCell ref="U43:U44"/>
    <mergeCell ref="U45:U46"/>
    <mergeCell ref="J47:J49"/>
    <mergeCell ref="K47:K49"/>
    <mergeCell ref="L47:L49"/>
    <mergeCell ref="M47:M49"/>
    <mergeCell ref="M13:M14"/>
    <mergeCell ref="N13:N19"/>
    <mergeCell ref="O13:O49"/>
    <mergeCell ref="P13:P49"/>
    <mergeCell ref="Q13:Q14"/>
    <mergeCell ref="AM13:AM49"/>
    <mergeCell ref="AN13:AN49"/>
    <mergeCell ref="AQ13:AQ49"/>
    <mergeCell ref="AR13:AS16"/>
    <mergeCell ref="AJ13:AJ49"/>
    <mergeCell ref="AK13:AK49"/>
    <mergeCell ref="AL13:AL49"/>
    <mergeCell ref="Q47:Q49"/>
    <mergeCell ref="U47:U48"/>
    <mergeCell ref="A11:A178"/>
    <mergeCell ref="B11:C45"/>
    <mergeCell ref="D12:F65"/>
    <mergeCell ref="J13:J14"/>
    <mergeCell ref="K13:K14"/>
    <mergeCell ref="V8:V9"/>
    <mergeCell ref="W8:W9"/>
    <mergeCell ref="X8:X9"/>
    <mergeCell ref="Y8:Z8"/>
    <mergeCell ref="P8:P9"/>
    <mergeCell ref="Q8:Q9"/>
    <mergeCell ref="R8:R9"/>
    <mergeCell ref="S8:S9"/>
    <mergeCell ref="T8:T9"/>
    <mergeCell ref="U8:U9"/>
    <mergeCell ref="J8:J9"/>
    <mergeCell ref="K8:K9"/>
    <mergeCell ref="Y13:Y49"/>
    <mergeCell ref="Z13:Z49"/>
    <mergeCell ref="U31:U32"/>
    <mergeCell ref="U33:U34"/>
    <mergeCell ref="U36:U37"/>
    <mergeCell ref="U39:U40"/>
    <mergeCell ref="L13:L14"/>
    <mergeCell ref="L8:L9"/>
    <mergeCell ref="M8:M9"/>
    <mergeCell ref="N8:N9"/>
    <mergeCell ref="O8:O9"/>
    <mergeCell ref="A1:AO4"/>
    <mergeCell ref="A5:M6"/>
    <mergeCell ref="N5:AQ5"/>
    <mergeCell ref="Y6:AM6"/>
    <mergeCell ref="A8:A9"/>
    <mergeCell ref="B8:C9"/>
    <mergeCell ref="D8:D9"/>
    <mergeCell ref="E8:F9"/>
    <mergeCell ref="G8:G9"/>
    <mergeCell ref="H8:I9"/>
    <mergeCell ref="AK8:AM8"/>
    <mergeCell ref="AN8:AN9"/>
    <mergeCell ref="AO8:AO9"/>
    <mergeCell ref="AP8:AP9"/>
    <mergeCell ref="AQ8:AQ9"/>
    <mergeCell ref="AA8:AD8"/>
    <mergeCell ref="AE8:AJ8"/>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8"/>
  <sheetViews>
    <sheetView showGridLines="0" zoomScale="80" zoomScaleNormal="80" workbookViewId="0">
      <selection activeCell="D12" sqref="D12"/>
    </sheetView>
  </sheetViews>
  <sheetFormatPr baseColWidth="10" defaultColWidth="11.42578125" defaultRowHeight="14.25" x14ac:dyDescent="0.2"/>
  <cols>
    <col min="1" max="1" width="10" style="545" customWidth="1"/>
    <col min="2" max="2" width="8.42578125" style="545" customWidth="1"/>
    <col min="3" max="3" width="9.5703125" style="545" customWidth="1"/>
    <col min="4" max="4" width="11" style="545" customWidth="1"/>
    <col min="5" max="5" width="8" style="545" customWidth="1"/>
    <col min="6" max="6" width="10.140625" style="545" customWidth="1"/>
    <col min="7" max="7" width="10.5703125" style="545" customWidth="1"/>
    <col min="8" max="8" width="11.140625" style="545" customWidth="1"/>
    <col min="9" max="9" width="13.5703125" style="545" customWidth="1"/>
    <col min="10" max="10" width="11.7109375" style="545" customWidth="1"/>
    <col min="11" max="11" width="18.7109375" style="545" customWidth="1"/>
    <col min="12" max="12" width="14.85546875" style="545" customWidth="1"/>
    <col min="13" max="13" width="10.28515625" style="545" customWidth="1"/>
    <col min="14" max="14" width="28.85546875" style="546" customWidth="1"/>
    <col min="15" max="15" width="16.7109375" style="545" customWidth="1"/>
    <col min="16" max="16" width="15.28515625" style="545" customWidth="1"/>
    <col min="17" max="17" width="12" style="545" customWidth="1"/>
    <col min="18" max="18" width="19.140625" style="545" customWidth="1"/>
    <col min="19" max="19" width="19.7109375" style="545" customWidth="1"/>
    <col min="20" max="20" width="29.28515625" style="545" customWidth="1"/>
    <col min="21" max="21" width="20.28515625" style="545" customWidth="1"/>
    <col min="22" max="22" width="22.7109375" style="547" customWidth="1"/>
    <col min="23" max="23" width="14" style="548" customWidth="1"/>
    <col min="24" max="24" width="14.85546875" style="545" customWidth="1"/>
    <col min="25" max="40" width="8.5703125" style="545" customWidth="1"/>
    <col min="41" max="41" width="12.85546875" style="545" customWidth="1"/>
    <col min="42" max="42" width="19.140625" style="545" customWidth="1"/>
    <col min="43" max="43" width="19.85546875" style="545" customWidth="1"/>
    <col min="44" max="56" width="14.85546875" style="545" customWidth="1"/>
    <col min="57" max="16384" width="11.42578125" style="545"/>
  </cols>
  <sheetData>
    <row r="1" spans="1:43" s="386" customFormat="1" ht="12" customHeight="1" x14ac:dyDescent="0.2">
      <c r="A1" s="3278" t="s">
        <v>328</v>
      </c>
      <c r="B1" s="3279"/>
      <c r="C1" s="3279"/>
      <c r="D1" s="3279"/>
      <c r="E1" s="3279"/>
      <c r="F1" s="3279"/>
      <c r="G1" s="3279"/>
      <c r="H1" s="3279"/>
      <c r="I1" s="3279"/>
      <c r="J1" s="3279"/>
      <c r="K1" s="3279"/>
      <c r="L1" s="3279"/>
      <c r="M1" s="3279"/>
      <c r="N1" s="3279"/>
      <c r="O1" s="3279"/>
      <c r="P1" s="3279"/>
      <c r="Q1" s="3279"/>
      <c r="R1" s="3279"/>
      <c r="S1" s="3279"/>
      <c r="T1" s="3279"/>
      <c r="U1" s="3279"/>
      <c r="V1" s="3279"/>
      <c r="W1" s="3279"/>
      <c r="X1" s="3279"/>
      <c r="Y1" s="3279"/>
      <c r="Z1" s="3279"/>
      <c r="AA1" s="3279"/>
      <c r="AB1" s="3279"/>
      <c r="AC1" s="3279"/>
      <c r="AD1" s="3279"/>
      <c r="AE1" s="3279"/>
      <c r="AF1" s="3279"/>
      <c r="AG1" s="3279"/>
      <c r="AH1" s="3279"/>
      <c r="AI1" s="3279"/>
      <c r="AJ1" s="3279"/>
      <c r="AK1" s="3279"/>
      <c r="AL1" s="3279"/>
      <c r="AM1" s="3279"/>
      <c r="AN1" s="3279"/>
      <c r="AO1" s="383"/>
      <c r="AP1" s="384" t="s">
        <v>1</v>
      </c>
      <c r="AQ1" s="385" t="s">
        <v>2</v>
      </c>
    </row>
    <row r="2" spans="1:43" s="386" customFormat="1" ht="16.5" customHeight="1" x14ac:dyDescent="0.2">
      <c r="A2" s="3280"/>
      <c r="B2" s="3281"/>
      <c r="C2" s="3281"/>
      <c r="D2" s="3281"/>
      <c r="E2" s="3281"/>
      <c r="F2" s="3281"/>
      <c r="G2" s="3281"/>
      <c r="H2" s="3281"/>
      <c r="I2" s="3281"/>
      <c r="J2" s="3281"/>
      <c r="K2" s="3281"/>
      <c r="L2" s="3281"/>
      <c r="M2" s="3281"/>
      <c r="N2" s="3281"/>
      <c r="O2" s="3281"/>
      <c r="P2" s="3281"/>
      <c r="Q2" s="3281"/>
      <c r="R2" s="3281"/>
      <c r="S2" s="3281"/>
      <c r="T2" s="3281"/>
      <c r="U2" s="3281"/>
      <c r="V2" s="3281"/>
      <c r="W2" s="3281"/>
      <c r="X2" s="3281"/>
      <c r="Y2" s="3281"/>
      <c r="Z2" s="3281"/>
      <c r="AA2" s="3281"/>
      <c r="AB2" s="3281"/>
      <c r="AC2" s="3281"/>
      <c r="AD2" s="3281"/>
      <c r="AE2" s="3281"/>
      <c r="AF2" s="3281"/>
      <c r="AG2" s="3281"/>
      <c r="AH2" s="3281"/>
      <c r="AI2" s="3281"/>
      <c r="AJ2" s="3281"/>
      <c r="AK2" s="3281"/>
      <c r="AL2" s="3281"/>
      <c r="AM2" s="3281"/>
      <c r="AN2" s="3281"/>
      <c r="AO2" s="387"/>
      <c r="AP2" s="388" t="s">
        <v>3</v>
      </c>
      <c r="AQ2" s="389">
        <v>6</v>
      </c>
    </row>
    <row r="3" spans="1:43" s="386" customFormat="1" ht="18" customHeight="1" x14ac:dyDescent="0.2">
      <c r="A3" s="3280"/>
      <c r="B3" s="3281"/>
      <c r="C3" s="3281"/>
      <c r="D3" s="3281"/>
      <c r="E3" s="3281"/>
      <c r="F3" s="3281"/>
      <c r="G3" s="3281"/>
      <c r="H3" s="3281"/>
      <c r="I3" s="3281"/>
      <c r="J3" s="3281"/>
      <c r="K3" s="3281"/>
      <c r="L3" s="3281"/>
      <c r="M3" s="3281"/>
      <c r="N3" s="3281"/>
      <c r="O3" s="3281"/>
      <c r="P3" s="3281"/>
      <c r="Q3" s="3281"/>
      <c r="R3" s="3281"/>
      <c r="S3" s="3281"/>
      <c r="T3" s="3281"/>
      <c r="U3" s="3281"/>
      <c r="V3" s="3281"/>
      <c r="W3" s="3281"/>
      <c r="X3" s="3281"/>
      <c r="Y3" s="3281"/>
      <c r="Z3" s="3281"/>
      <c r="AA3" s="3281"/>
      <c r="AB3" s="3281"/>
      <c r="AC3" s="3281"/>
      <c r="AD3" s="3281"/>
      <c r="AE3" s="3281"/>
      <c r="AF3" s="3281"/>
      <c r="AG3" s="3281"/>
      <c r="AH3" s="3281"/>
      <c r="AI3" s="3281"/>
      <c r="AJ3" s="3281"/>
      <c r="AK3" s="3281"/>
      <c r="AL3" s="3281"/>
      <c r="AM3" s="3281"/>
      <c r="AN3" s="3281"/>
      <c r="AO3" s="387"/>
      <c r="AP3" s="390" t="s">
        <v>5</v>
      </c>
      <c r="AQ3" s="391" t="s">
        <v>6</v>
      </c>
    </row>
    <row r="4" spans="1:43" s="395" customFormat="1" ht="13.5" customHeight="1" x14ac:dyDescent="0.2">
      <c r="A4" s="3282"/>
      <c r="B4" s="3283"/>
      <c r="C4" s="3283"/>
      <c r="D4" s="3283"/>
      <c r="E4" s="3283"/>
      <c r="F4" s="3283"/>
      <c r="G4" s="3283"/>
      <c r="H4" s="3283"/>
      <c r="I4" s="3283"/>
      <c r="J4" s="3283"/>
      <c r="K4" s="3283"/>
      <c r="L4" s="3283"/>
      <c r="M4" s="3283"/>
      <c r="N4" s="3283"/>
      <c r="O4" s="3283"/>
      <c r="P4" s="3283"/>
      <c r="Q4" s="3283"/>
      <c r="R4" s="3283"/>
      <c r="S4" s="3283"/>
      <c r="T4" s="3283"/>
      <c r="U4" s="3283"/>
      <c r="V4" s="3283"/>
      <c r="W4" s="3283"/>
      <c r="X4" s="3283"/>
      <c r="Y4" s="3283"/>
      <c r="Z4" s="3283"/>
      <c r="AA4" s="3283"/>
      <c r="AB4" s="3283"/>
      <c r="AC4" s="3283"/>
      <c r="AD4" s="3283"/>
      <c r="AE4" s="3283"/>
      <c r="AF4" s="3283"/>
      <c r="AG4" s="3283"/>
      <c r="AH4" s="3283"/>
      <c r="AI4" s="3283"/>
      <c r="AJ4" s="3283"/>
      <c r="AK4" s="3283"/>
      <c r="AL4" s="3283"/>
      <c r="AM4" s="3283"/>
      <c r="AN4" s="3283"/>
      <c r="AO4" s="392"/>
      <c r="AP4" s="393" t="s">
        <v>7</v>
      </c>
      <c r="AQ4" s="394" t="s">
        <v>329</v>
      </c>
    </row>
    <row r="5" spans="1:43" s="386" customFormat="1" ht="27" customHeight="1" x14ac:dyDescent="0.2">
      <c r="A5" s="3284" t="s">
        <v>9</v>
      </c>
      <c r="B5" s="3285"/>
      <c r="C5" s="3285"/>
      <c r="D5" s="3285"/>
      <c r="E5" s="3285"/>
      <c r="F5" s="3285"/>
      <c r="G5" s="3285"/>
      <c r="H5" s="3285"/>
      <c r="I5" s="3285"/>
      <c r="J5" s="3285"/>
      <c r="K5" s="3285"/>
      <c r="L5" s="3285"/>
      <c r="M5" s="3285"/>
      <c r="N5" s="396"/>
      <c r="O5" s="396"/>
      <c r="P5" s="3286" t="s">
        <v>10</v>
      </c>
      <c r="Q5" s="3286"/>
      <c r="R5" s="3286"/>
      <c r="S5" s="3286"/>
      <c r="T5" s="3286"/>
      <c r="U5" s="3286"/>
      <c r="V5" s="3286"/>
      <c r="W5" s="3286"/>
      <c r="X5" s="3286"/>
      <c r="Y5" s="3286"/>
      <c r="Z5" s="3286"/>
      <c r="AA5" s="3286"/>
      <c r="AB5" s="3286"/>
      <c r="AC5" s="3286"/>
      <c r="AD5" s="3286"/>
      <c r="AE5" s="3286"/>
      <c r="AF5" s="3286"/>
      <c r="AG5" s="3286"/>
      <c r="AH5" s="3286"/>
      <c r="AI5" s="3286"/>
      <c r="AJ5" s="3286"/>
      <c r="AK5" s="3286"/>
      <c r="AL5" s="3286"/>
      <c r="AM5" s="3286"/>
      <c r="AN5" s="3286"/>
      <c r="AO5" s="3286"/>
      <c r="AP5" s="3286"/>
      <c r="AQ5" s="3287"/>
    </row>
    <row r="6" spans="1:43" s="386" customFormat="1" ht="18" customHeight="1" x14ac:dyDescent="0.2">
      <c r="A6" s="3284"/>
      <c r="B6" s="3285"/>
      <c r="C6" s="3285"/>
      <c r="D6" s="3285"/>
      <c r="E6" s="3285"/>
      <c r="F6" s="3285"/>
      <c r="G6" s="3285"/>
      <c r="H6" s="3285"/>
      <c r="I6" s="3285"/>
      <c r="J6" s="3285"/>
      <c r="K6" s="3285"/>
      <c r="L6" s="3285"/>
      <c r="M6" s="3285"/>
      <c r="N6" s="396"/>
      <c r="O6" s="396"/>
      <c r="P6" s="3286"/>
      <c r="Q6" s="3286"/>
      <c r="R6" s="3286"/>
      <c r="S6" s="3286"/>
      <c r="T6" s="3286"/>
      <c r="U6" s="3286"/>
      <c r="V6" s="3286"/>
      <c r="W6" s="3286"/>
      <c r="X6" s="3286"/>
      <c r="Y6" s="396"/>
      <c r="Z6" s="396"/>
      <c r="AA6" s="396"/>
      <c r="AB6" s="396"/>
      <c r="AC6" s="396"/>
      <c r="AD6" s="396"/>
      <c r="AE6" s="396"/>
      <c r="AF6" s="396"/>
      <c r="AG6" s="396"/>
      <c r="AH6" s="396"/>
      <c r="AI6" s="396"/>
      <c r="AJ6" s="396"/>
      <c r="AK6" s="396"/>
      <c r="AL6" s="396"/>
      <c r="AM6" s="396"/>
      <c r="AN6" s="396"/>
      <c r="AO6" s="3286"/>
      <c r="AP6" s="3286"/>
      <c r="AQ6" s="3287"/>
    </row>
    <row r="7" spans="1:43" s="397" customFormat="1" ht="30.75" customHeight="1" x14ac:dyDescent="0.25">
      <c r="A7" s="3288" t="s">
        <v>12</v>
      </c>
      <c r="B7" s="3290" t="s">
        <v>13</v>
      </c>
      <c r="C7" s="3291"/>
      <c r="D7" s="3294" t="s">
        <v>12</v>
      </c>
      <c r="E7" s="3294" t="s">
        <v>14</v>
      </c>
      <c r="F7" s="3294"/>
      <c r="G7" s="3294" t="s">
        <v>12</v>
      </c>
      <c r="H7" s="3294" t="s">
        <v>15</v>
      </c>
      <c r="I7" s="3294"/>
      <c r="J7" s="3294" t="s">
        <v>12</v>
      </c>
      <c r="K7" s="3294" t="s">
        <v>16</v>
      </c>
      <c r="L7" s="3294" t="s">
        <v>17</v>
      </c>
      <c r="M7" s="3294" t="s">
        <v>18</v>
      </c>
      <c r="N7" s="3294" t="s">
        <v>19</v>
      </c>
      <c r="O7" s="3294" t="s">
        <v>20</v>
      </c>
      <c r="P7" s="3294" t="s">
        <v>10</v>
      </c>
      <c r="Q7" s="3295" t="s">
        <v>21</v>
      </c>
      <c r="R7" s="3296" t="s">
        <v>22</v>
      </c>
      <c r="S7" s="3294" t="s">
        <v>23</v>
      </c>
      <c r="T7" s="3294" t="s">
        <v>24</v>
      </c>
      <c r="U7" s="3294" t="s">
        <v>25</v>
      </c>
      <c r="V7" s="3306" t="s">
        <v>22</v>
      </c>
      <c r="W7" s="3308" t="s">
        <v>12</v>
      </c>
      <c r="X7" s="3294" t="s">
        <v>26</v>
      </c>
      <c r="Y7" s="3309" t="s">
        <v>27</v>
      </c>
      <c r="Z7" s="3310"/>
      <c r="AA7" s="3299" t="s">
        <v>28</v>
      </c>
      <c r="AB7" s="3300"/>
      <c r="AC7" s="3300"/>
      <c r="AD7" s="3300"/>
      <c r="AE7" s="3297" t="s">
        <v>29</v>
      </c>
      <c r="AF7" s="3298"/>
      <c r="AG7" s="3298"/>
      <c r="AH7" s="3298"/>
      <c r="AI7" s="3298"/>
      <c r="AJ7" s="3298"/>
      <c r="AK7" s="3299" t="s">
        <v>30</v>
      </c>
      <c r="AL7" s="3300"/>
      <c r="AM7" s="3300"/>
      <c r="AN7" s="3301" t="s">
        <v>31</v>
      </c>
      <c r="AO7" s="3303" t="s">
        <v>32</v>
      </c>
      <c r="AP7" s="3303" t="s">
        <v>33</v>
      </c>
      <c r="AQ7" s="3305" t="s">
        <v>34</v>
      </c>
    </row>
    <row r="8" spans="1:43" s="397" customFormat="1" ht="102" customHeight="1" x14ac:dyDescent="0.25">
      <c r="A8" s="3289"/>
      <c r="B8" s="3292"/>
      <c r="C8" s="3293"/>
      <c r="D8" s="3294"/>
      <c r="E8" s="3294"/>
      <c r="F8" s="3294"/>
      <c r="G8" s="3294"/>
      <c r="H8" s="3294"/>
      <c r="I8" s="3294"/>
      <c r="J8" s="3294"/>
      <c r="K8" s="3294"/>
      <c r="L8" s="3294"/>
      <c r="M8" s="3294"/>
      <c r="N8" s="3294"/>
      <c r="O8" s="3294"/>
      <c r="P8" s="3294"/>
      <c r="Q8" s="3295"/>
      <c r="R8" s="3296"/>
      <c r="S8" s="3294"/>
      <c r="T8" s="3294"/>
      <c r="U8" s="3294"/>
      <c r="V8" s="3307"/>
      <c r="W8" s="3308"/>
      <c r="X8" s="3294"/>
      <c r="Y8" s="398" t="s">
        <v>35</v>
      </c>
      <c r="Z8" s="399" t="s">
        <v>330</v>
      </c>
      <c r="AA8" s="400" t="s">
        <v>37</v>
      </c>
      <c r="AB8" s="400" t="s">
        <v>125</v>
      </c>
      <c r="AC8" s="400" t="s">
        <v>126</v>
      </c>
      <c r="AD8" s="400" t="s">
        <v>127</v>
      </c>
      <c r="AE8" s="401" t="s">
        <v>41</v>
      </c>
      <c r="AF8" s="402" t="s">
        <v>42</v>
      </c>
      <c r="AG8" s="401" t="s">
        <v>43</v>
      </c>
      <c r="AH8" s="402" t="s">
        <v>44</v>
      </c>
      <c r="AI8" s="401" t="s">
        <v>331</v>
      </c>
      <c r="AJ8" s="401" t="s">
        <v>46</v>
      </c>
      <c r="AK8" s="400" t="s">
        <v>47</v>
      </c>
      <c r="AL8" s="400" t="s">
        <v>48</v>
      </c>
      <c r="AM8" s="400" t="s">
        <v>332</v>
      </c>
      <c r="AN8" s="3302"/>
      <c r="AO8" s="3304"/>
      <c r="AP8" s="3304"/>
      <c r="AQ8" s="3305"/>
    </row>
    <row r="9" spans="1:43" s="412" customFormat="1" ht="15" customHeight="1" x14ac:dyDescent="0.25">
      <c r="A9" s="403">
        <v>3</v>
      </c>
      <c r="B9" s="404" t="s">
        <v>333</v>
      </c>
      <c r="C9" s="405"/>
      <c r="D9" s="406"/>
      <c r="E9" s="405"/>
      <c r="F9" s="405"/>
      <c r="G9" s="405"/>
      <c r="H9" s="405"/>
      <c r="I9" s="405"/>
      <c r="J9" s="405"/>
      <c r="K9" s="407"/>
      <c r="L9" s="407"/>
      <c r="M9" s="405"/>
      <c r="N9" s="408"/>
      <c r="O9" s="405"/>
      <c r="P9" s="407"/>
      <c r="Q9" s="405"/>
      <c r="R9" s="409"/>
      <c r="S9" s="407"/>
      <c r="T9" s="407"/>
      <c r="U9" s="407"/>
      <c r="V9" s="410"/>
      <c r="W9" s="411"/>
      <c r="X9" s="408"/>
      <c r="Y9" s="405"/>
      <c r="Z9" s="405"/>
      <c r="AA9" s="405"/>
      <c r="AB9" s="405"/>
      <c r="AC9" s="405"/>
      <c r="AD9" s="405"/>
      <c r="AE9" s="405"/>
      <c r="AF9" s="405"/>
      <c r="AG9" s="405"/>
      <c r="AH9" s="405"/>
      <c r="AI9" s="405"/>
      <c r="AJ9" s="405"/>
      <c r="AK9" s="405"/>
      <c r="AL9" s="405"/>
      <c r="AM9" s="405"/>
      <c r="AN9" s="405"/>
      <c r="AO9" s="3311"/>
      <c r="AP9" s="3311"/>
      <c r="AQ9" s="3312"/>
    </row>
    <row r="10" spans="1:43" s="412" customFormat="1" ht="15" customHeight="1" x14ac:dyDescent="0.25">
      <c r="A10" s="413"/>
      <c r="B10" s="414"/>
      <c r="C10" s="415"/>
      <c r="D10" s="416">
        <v>9</v>
      </c>
      <c r="E10" s="3313" t="s">
        <v>334</v>
      </c>
      <c r="F10" s="3314"/>
      <c r="G10" s="3314"/>
      <c r="H10" s="3314"/>
      <c r="I10" s="3314"/>
      <c r="J10" s="3314"/>
      <c r="K10" s="3314"/>
      <c r="L10" s="417"/>
      <c r="M10" s="418"/>
      <c r="N10" s="419"/>
      <c r="O10" s="418"/>
      <c r="P10" s="417"/>
      <c r="Q10" s="418"/>
      <c r="R10" s="420"/>
      <c r="S10" s="417"/>
      <c r="T10" s="417"/>
      <c r="U10" s="417"/>
      <c r="V10" s="421"/>
      <c r="W10" s="422"/>
      <c r="X10" s="419"/>
      <c r="Y10" s="418"/>
      <c r="Z10" s="418"/>
      <c r="AA10" s="418"/>
      <c r="AB10" s="418"/>
      <c r="AC10" s="418"/>
      <c r="AD10" s="418"/>
      <c r="AE10" s="418"/>
      <c r="AF10" s="418"/>
      <c r="AG10" s="418"/>
      <c r="AH10" s="418"/>
      <c r="AI10" s="418"/>
      <c r="AJ10" s="418"/>
      <c r="AK10" s="418"/>
      <c r="AL10" s="418"/>
      <c r="AM10" s="418"/>
      <c r="AN10" s="418"/>
      <c r="AO10" s="3315"/>
      <c r="AP10" s="3315"/>
      <c r="AQ10" s="3316"/>
    </row>
    <row r="11" spans="1:43" s="386" customFormat="1" ht="15" customHeight="1" x14ac:dyDescent="0.2">
      <c r="A11" s="423"/>
      <c r="B11" s="424"/>
      <c r="C11" s="425"/>
      <c r="D11" s="426"/>
      <c r="E11" s="427"/>
      <c r="F11" s="428"/>
      <c r="G11" s="429">
        <v>29</v>
      </c>
      <c r="H11" s="3317" t="s">
        <v>335</v>
      </c>
      <c r="I11" s="3318"/>
      <c r="J11" s="3318"/>
      <c r="K11" s="3318"/>
      <c r="L11" s="430"/>
      <c r="M11" s="431"/>
      <c r="N11" s="432"/>
      <c r="O11" s="431"/>
      <c r="P11" s="430"/>
      <c r="Q11" s="431"/>
      <c r="R11" s="433"/>
      <c r="S11" s="430"/>
      <c r="T11" s="430"/>
      <c r="U11" s="430"/>
      <c r="V11" s="434"/>
      <c r="W11" s="435"/>
      <c r="X11" s="432"/>
      <c r="Y11" s="431"/>
      <c r="Z11" s="431"/>
      <c r="AA11" s="431"/>
      <c r="AB11" s="431"/>
      <c r="AC11" s="431"/>
      <c r="AD11" s="431"/>
      <c r="AE11" s="431"/>
      <c r="AF11" s="431"/>
      <c r="AG11" s="431"/>
      <c r="AH11" s="431"/>
      <c r="AI11" s="431"/>
      <c r="AJ11" s="431"/>
      <c r="AK11" s="431"/>
      <c r="AL11" s="431"/>
      <c r="AM11" s="431"/>
      <c r="AN11" s="431"/>
      <c r="AO11" s="3319"/>
      <c r="AP11" s="3319"/>
      <c r="AQ11" s="3320"/>
    </row>
    <row r="12" spans="1:43" s="443" customFormat="1" ht="80.25" customHeight="1" x14ac:dyDescent="0.2">
      <c r="A12" s="436"/>
      <c r="B12" s="437"/>
      <c r="C12" s="438"/>
      <c r="D12" s="439"/>
      <c r="E12" s="437"/>
      <c r="F12" s="438"/>
      <c r="G12" s="3321"/>
      <c r="H12" s="3324"/>
      <c r="I12" s="3325"/>
      <c r="J12" s="3330">
        <v>114</v>
      </c>
      <c r="K12" s="3333" t="s">
        <v>336</v>
      </c>
      <c r="L12" s="3333" t="s">
        <v>337</v>
      </c>
      <c r="M12" s="3330">
        <v>30</v>
      </c>
      <c r="N12" s="3321" t="s">
        <v>338</v>
      </c>
      <c r="O12" s="3321" t="s">
        <v>339</v>
      </c>
      <c r="P12" s="3333" t="s">
        <v>340</v>
      </c>
      <c r="Q12" s="3340">
        <f>(+V12+V13+V14)/R12</f>
        <v>1</v>
      </c>
      <c r="R12" s="3343">
        <f>V12+V13+V14</f>
        <v>1249277717</v>
      </c>
      <c r="S12" s="3333" t="s">
        <v>341</v>
      </c>
      <c r="T12" s="3333" t="s">
        <v>342</v>
      </c>
      <c r="U12" s="3336" t="s">
        <v>343</v>
      </c>
      <c r="V12" s="440">
        <v>172896381</v>
      </c>
      <c r="W12" s="441">
        <v>33</v>
      </c>
      <c r="X12" s="442" t="s">
        <v>344</v>
      </c>
      <c r="Y12" s="3337">
        <v>26</v>
      </c>
      <c r="Z12" s="3337">
        <v>26</v>
      </c>
      <c r="AA12" s="3321"/>
      <c r="AB12" s="3321"/>
      <c r="AC12" s="3337">
        <v>52</v>
      </c>
      <c r="AD12" s="3337"/>
      <c r="AE12" s="3337"/>
      <c r="AF12" s="3337"/>
      <c r="AG12" s="3337"/>
      <c r="AH12" s="3337"/>
      <c r="AI12" s="3337"/>
      <c r="AJ12" s="3337"/>
      <c r="AK12" s="3337"/>
      <c r="AL12" s="3337"/>
      <c r="AM12" s="3337"/>
      <c r="AN12" s="3337">
        <f>+Y12+Z12</f>
        <v>52</v>
      </c>
      <c r="AO12" s="3346">
        <v>43466</v>
      </c>
      <c r="AP12" s="3346">
        <v>43830</v>
      </c>
      <c r="AQ12" s="3349" t="s">
        <v>345</v>
      </c>
    </row>
    <row r="13" spans="1:43" s="443" customFormat="1" ht="80.25" customHeight="1" x14ac:dyDescent="0.2">
      <c r="A13" s="436"/>
      <c r="B13" s="437"/>
      <c r="C13" s="438"/>
      <c r="D13" s="439"/>
      <c r="E13" s="437"/>
      <c r="F13" s="438"/>
      <c r="G13" s="3322"/>
      <c r="H13" s="3326"/>
      <c r="I13" s="3327"/>
      <c r="J13" s="3331"/>
      <c r="K13" s="3334"/>
      <c r="L13" s="3334"/>
      <c r="M13" s="3331"/>
      <c r="N13" s="3322"/>
      <c r="O13" s="3322"/>
      <c r="P13" s="3334"/>
      <c r="Q13" s="3341"/>
      <c r="R13" s="3344"/>
      <c r="S13" s="3334"/>
      <c r="T13" s="3334"/>
      <c r="U13" s="3336"/>
      <c r="V13" s="440">
        <v>1075686973</v>
      </c>
      <c r="W13" s="441">
        <v>83</v>
      </c>
      <c r="X13" s="442" t="s">
        <v>346</v>
      </c>
      <c r="Y13" s="3338"/>
      <c r="Z13" s="3338"/>
      <c r="AA13" s="3322"/>
      <c r="AB13" s="3322"/>
      <c r="AC13" s="3338"/>
      <c r="AD13" s="3338"/>
      <c r="AE13" s="3338"/>
      <c r="AF13" s="3338"/>
      <c r="AG13" s="3338"/>
      <c r="AH13" s="3338"/>
      <c r="AI13" s="3338"/>
      <c r="AJ13" s="3338"/>
      <c r="AK13" s="3338"/>
      <c r="AL13" s="3338"/>
      <c r="AM13" s="3338"/>
      <c r="AN13" s="3338"/>
      <c r="AO13" s="3347"/>
      <c r="AP13" s="3347"/>
      <c r="AQ13" s="3350"/>
    </row>
    <row r="14" spans="1:43" s="443" customFormat="1" ht="86.25" customHeight="1" x14ac:dyDescent="0.2">
      <c r="A14" s="436"/>
      <c r="B14" s="437"/>
      <c r="C14" s="438"/>
      <c r="D14" s="439"/>
      <c r="E14" s="437"/>
      <c r="F14" s="438"/>
      <c r="G14" s="3322"/>
      <c r="H14" s="3326"/>
      <c r="I14" s="3327"/>
      <c r="J14" s="3332"/>
      <c r="K14" s="3335"/>
      <c r="L14" s="3335"/>
      <c r="M14" s="3332"/>
      <c r="N14" s="3323"/>
      <c r="O14" s="3323"/>
      <c r="P14" s="3335"/>
      <c r="Q14" s="3342"/>
      <c r="R14" s="3345"/>
      <c r="S14" s="3335"/>
      <c r="T14" s="3335"/>
      <c r="U14" s="442" t="s">
        <v>347</v>
      </c>
      <c r="V14" s="440">
        <f>694363</f>
        <v>694363</v>
      </c>
      <c r="W14" s="441">
        <v>33</v>
      </c>
      <c r="X14" s="442" t="s">
        <v>344</v>
      </c>
      <c r="Y14" s="3339"/>
      <c r="Z14" s="3339"/>
      <c r="AA14" s="3323"/>
      <c r="AB14" s="3323"/>
      <c r="AC14" s="3339"/>
      <c r="AD14" s="3339"/>
      <c r="AE14" s="3339"/>
      <c r="AF14" s="3339"/>
      <c r="AG14" s="3339"/>
      <c r="AH14" s="3339"/>
      <c r="AI14" s="3339"/>
      <c r="AJ14" s="3339"/>
      <c r="AK14" s="3339"/>
      <c r="AL14" s="3339"/>
      <c r="AM14" s="3339"/>
      <c r="AN14" s="3339"/>
      <c r="AO14" s="3348"/>
      <c r="AP14" s="3348"/>
      <c r="AQ14" s="3351"/>
    </row>
    <row r="15" spans="1:43" s="443" customFormat="1" ht="39" customHeight="1" x14ac:dyDescent="0.2">
      <c r="A15" s="436"/>
      <c r="B15" s="437"/>
      <c r="C15" s="438"/>
      <c r="D15" s="439"/>
      <c r="E15" s="437"/>
      <c r="F15" s="438"/>
      <c r="G15" s="3322"/>
      <c r="H15" s="3326"/>
      <c r="I15" s="3327"/>
      <c r="J15" s="3330">
        <v>114</v>
      </c>
      <c r="K15" s="3333" t="s">
        <v>348</v>
      </c>
      <c r="L15" s="3333" t="s">
        <v>349</v>
      </c>
      <c r="M15" s="3330">
        <v>30</v>
      </c>
      <c r="N15" s="3321" t="s">
        <v>350</v>
      </c>
      <c r="O15" s="3321" t="s">
        <v>351</v>
      </c>
      <c r="P15" s="3333" t="s">
        <v>352</v>
      </c>
      <c r="Q15" s="3362">
        <f>(V15+V16+V18+V17)/R15</f>
        <v>0.46737569540763191</v>
      </c>
      <c r="R15" s="3365">
        <f>V15+V16+V18+V19+V20+V21+V23+V24+V26+V17+V22+V25</f>
        <v>3213783215</v>
      </c>
      <c r="S15" s="3333" t="s">
        <v>353</v>
      </c>
      <c r="T15" s="3353" t="s">
        <v>354</v>
      </c>
      <c r="U15" s="444" t="s">
        <v>355</v>
      </c>
      <c r="V15" s="445">
        <f>543106000-185044900</f>
        <v>358061100</v>
      </c>
      <c r="W15" s="446">
        <v>20</v>
      </c>
      <c r="X15" s="447" t="s">
        <v>62</v>
      </c>
      <c r="Y15" s="3321">
        <v>85275</v>
      </c>
      <c r="Z15" s="3321">
        <v>85275</v>
      </c>
      <c r="AA15" s="3337">
        <v>25580</v>
      </c>
      <c r="AB15" s="3321">
        <v>42638</v>
      </c>
      <c r="AC15" s="3321">
        <v>68221</v>
      </c>
      <c r="AD15" s="3321">
        <v>17055</v>
      </c>
      <c r="AE15" s="3321">
        <v>8528</v>
      </c>
      <c r="AF15" s="3321">
        <v>8527.5</v>
      </c>
      <c r="AG15" s="3337"/>
      <c r="AH15" s="3337"/>
      <c r="AI15" s="3337">
        <v>134</v>
      </c>
      <c r="AJ15" s="3337"/>
      <c r="AK15" s="3337"/>
      <c r="AL15" s="3359"/>
      <c r="AM15" s="3337"/>
      <c r="AN15" s="3321">
        <f>Y15+Z15</f>
        <v>170550</v>
      </c>
      <c r="AO15" s="3346">
        <v>43466</v>
      </c>
      <c r="AP15" s="3346">
        <v>43830</v>
      </c>
      <c r="AQ15" s="3349" t="s">
        <v>345</v>
      </c>
    </row>
    <row r="16" spans="1:43" s="443" customFormat="1" ht="39.75" customHeight="1" x14ac:dyDescent="0.2">
      <c r="A16" s="436"/>
      <c r="B16" s="437"/>
      <c r="C16" s="438"/>
      <c r="D16" s="439"/>
      <c r="E16" s="437"/>
      <c r="F16" s="438"/>
      <c r="G16" s="3322"/>
      <c r="H16" s="3326"/>
      <c r="I16" s="3327"/>
      <c r="J16" s="3331"/>
      <c r="K16" s="3334"/>
      <c r="L16" s="3334"/>
      <c r="M16" s="3331"/>
      <c r="N16" s="3322"/>
      <c r="O16" s="3322"/>
      <c r="P16" s="3334"/>
      <c r="Q16" s="3363"/>
      <c r="R16" s="3366"/>
      <c r="S16" s="3334"/>
      <c r="T16" s="3354"/>
      <c r="U16" s="3368" t="s">
        <v>356</v>
      </c>
      <c r="V16" s="448">
        <f>457100000+195470065</f>
        <v>652570065</v>
      </c>
      <c r="W16" s="446">
        <v>20</v>
      </c>
      <c r="X16" s="449" t="s">
        <v>357</v>
      </c>
      <c r="Y16" s="3322"/>
      <c r="Z16" s="3322"/>
      <c r="AA16" s="3338"/>
      <c r="AB16" s="3322"/>
      <c r="AC16" s="3322"/>
      <c r="AD16" s="3322"/>
      <c r="AE16" s="3322"/>
      <c r="AF16" s="3322"/>
      <c r="AG16" s="3338"/>
      <c r="AH16" s="3338"/>
      <c r="AI16" s="3338"/>
      <c r="AJ16" s="3338"/>
      <c r="AK16" s="3338"/>
      <c r="AL16" s="3360"/>
      <c r="AM16" s="3338"/>
      <c r="AN16" s="3322"/>
      <c r="AO16" s="3347"/>
      <c r="AP16" s="3347"/>
      <c r="AQ16" s="3350"/>
    </row>
    <row r="17" spans="1:43" s="443" customFormat="1" ht="39.75" customHeight="1" x14ac:dyDescent="0.2">
      <c r="A17" s="436"/>
      <c r="B17" s="437"/>
      <c r="C17" s="438"/>
      <c r="D17" s="439"/>
      <c r="E17" s="437"/>
      <c r="F17" s="438"/>
      <c r="G17" s="3322"/>
      <c r="H17" s="3326"/>
      <c r="I17" s="3327"/>
      <c r="J17" s="3331"/>
      <c r="K17" s="3334"/>
      <c r="L17" s="3334"/>
      <c r="M17" s="3331"/>
      <c r="N17" s="3322"/>
      <c r="O17" s="3322"/>
      <c r="P17" s="3334"/>
      <c r="Q17" s="3363"/>
      <c r="R17" s="3366"/>
      <c r="S17" s="3334"/>
      <c r="T17" s="3354"/>
      <c r="U17" s="3369"/>
      <c r="V17" s="448">
        <v>400000000</v>
      </c>
      <c r="W17" s="446">
        <v>88</v>
      </c>
      <c r="X17" s="449" t="s">
        <v>358</v>
      </c>
      <c r="Y17" s="3322"/>
      <c r="Z17" s="3322"/>
      <c r="AA17" s="3338"/>
      <c r="AB17" s="3322"/>
      <c r="AC17" s="3322"/>
      <c r="AD17" s="3322"/>
      <c r="AE17" s="3322"/>
      <c r="AF17" s="3322"/>
      <c r="AG17" s="3338"/>
      <c r="AH17" s="3338"/>
      <c r="AI17" s="3338"/>
      <c r="AJ17" s="3338"/>
      <c r="AK17" s="3338"/>
      <c r="AL17" s="3360"/>
      <c r="AM17" s="3338"/>
      <c r="AN17" s="3322"/>
      <c r="AO17" s="3347"/>
      <c r="AP17" s="3347"/>
      <c r="AQ17" s="3350"/>
    </row>
    <row r="18" spans="1:43" s="443" customFormat="1" ht="38.25" customHeight="1" x14ac:dyDescent="0.2">
      <c r="A18" s="436"/>
      <c r="B18" s="437"/>
      <c r="C18" s="438"/>
      <c r="D18" s="439"/>
      <c r="E18" s="437"/>
      <c r="F18" s="438"/>
      <c r="G18" s="3322"/>
      <c r="H18" s="3326"/>
      <c r="I18" s="3327"/>
      <c r="J18" s="3332"/>
      <c r="K18" s="3335"/>
      <c r="L18" s="3335"/>
      <c r="M18" s="3332"/>
      <c r="N18" s="3322"/>
      <c r="O18" s="3322"/>
      <c r="P18" s="3334"/>
      <c r="Q18" s="3364"/>
      <c r="R18" s="3366"/>
      <c r="S18" s="3334"/>
      <c r="T18" s="3355"/>
      <c r="U18" s="450" t="s">
        <v>359</v>
      </c>
      <c r="V18" s="448">
        <f>101838165-10425165</f>
        <v>91413000</v>
      </c>
      <c r="W18" s="446">
        <v>20</v>
      </c>
      <c r="X18" s="449" t="s">
        <v>360</v>
      </c>
      <c r="Y18" s="3322"/>
      <c r="Z18" s="3322"/>
      <c r="AA18" s="3338"/>
      <c r="AB18" s="3322"/>
      <c r="AC18" s="3322"/>
      <c r="AD18" s="3322"/>
      <c r="AE18" s="3322"/>
      <c r="AF18" s="3322"/>
      <c r="AG18" s="3338"/>
      <c r="AH18" s="3338"/>
      <c r="AI18" s="3338"/>
      <c r="AJ18" s="3338"/>
      <c r="AK18" s="3338"/>
      <c r="AL18" s="3360"/>
      <c r="AM18" s="3338"/>
      <c r="AN18" s="3322"/>
      <c r="AO18" s="3347"/>
      <c r="AP18" s="3347"/>
      <c r="AQ18" s="3350"/>
    </row>
    <row r="19" spans="1:43" s="443" customFormat="1" ht="49.5" customHeight="1" x14ac:dyDescent="0.2">
      <c r="A19" s="436"/>
      <c r="B19" s="437"/>
      <c r="C19" s="438"/>
      <c r="D19" s="439"/>
      <c r="E19" s="437"/>
      <c r="F19" s="438"/>
      <c r="G19" s="3322"/>
      <c r="H19" s="3326"/>
      <c r="I19" s="3327"/>
      <c r="J19" s="3330">
        <v>115</v>
      </c>
      <c r="K19" s="3356" t="s">
        <v>361</v>
      </c>
      <c r="L19" s="3333" t="s">
        <v>349</v>
      </c>
      <c r="M19" s="3330">
        <v>34</v>
      </c>
      <c r="N19" s="3322"/>
      <c r="O19" s="3322"/>
      <c r="P19" s="3334"/>
      <c r="Q19" s="3340">
        <f>(V19+V20+V21+V22)/R15</f>
        <v>0.45757094508939988</v>
      </c>
      <c r="R19" s="3366"/>
      <c r="S19" s="3334"/>
      <c r="T19" s="3356" t="s">
        <v>362</v>
      </c>
      <c r="U19" s="451" t="s">
        <v>363</v>
      </c>
      <c r="V19" s="445">
        <f>867953723*11%-33504910</f>
        <v>61969999.530000001</v>
      </c>
      <c r="W19" s="446">
        <v>39</v>
      </c>
      <c r="X19" s="449" t="s">
        <v>364</v>
      </c>
      <c r="Y19" s="3322"/>
      <c r="Z19" s="3322"/>
      <c r="AA19" s="3338"/>
      <c r="AB19" s="3322"/>
      <c r="AC19" s="3322"/>
      <c r="AD19" s="3322"/>
      <c r="AE19" s="3322"/>
      <c r="AF19" s="3322"/>
      <c r="AG19" s="3338"/>
      <c r="AH19" s="3338"/>
      <c r="AI19" s="3338"/>
      <c r="AJ19" s="3338"/>
      <c r="AK19" s="3338"/>
      <c r="AL19" s="3360"/>
      <c r="AM19" s="3338"/>
      <c r="AN19" s="3322"/>
      <c r="AO19" s="3347"/>
      <c r="AP19" s="3347"/>
      <c r="AQ19" s="3350"/>
    </row>
    <row r="20" spans="1:43" s="443" customFormat="1" ht="63" customHeight="1" x14ac:dyDescent="0.2">
      <c r="A20" s="436"/>
      <c r="B20" s="437"/>
      <c r="C20" s="438"/>
      <c r="D20" s="439"/>
      <c r="E20" s="437"/>
      <c r="F20" s="438"/>
      <c r="G20" s="3322"/>
      <c r="H20" s="3326"/>
      <c r="I20" s="3327"/>
      <c r="J20" s="3331"/>
      <c r="K20" s="3357"/>
      <c r="L20" s="3334"/>
      <c r="M20" s="3331"/>
      <c r="N20" s="3322"/>
      <c r="O20" s="3322"/>
      <c r="P20" s="3334"/>
      <c r="Q20" s="3341"/>
      <c r="R20" s="3366"/>
      <c r="S20" s="3334"/>
      <c r="T20" s="3357"/>
      <c r="U20" s="452" t="s">
        <v>365</v>
      </c>
      <c r="V20" s="448">
        <f>867953723*4%+33504910+56122942</f>
        <v>124346000.92</v>
      </c>
      <c r="W20" s="446">
        <v>39</v>
      </c>
      <c r="X20" s="449" t="s">
        <v>364</v>
      </c>
      <c r="Y20" s="3322"/>
      <c r="Z20" s="3322"/>
      <c r="AA20" s="3338"/>
      <c r="AB20" s="3322"/>
      <c r="AC20" s="3322"/>
      <c r="AD20" s="3322"/>
      <c r="AE20" s="3322"/>
      <c r="AF20" s="3322"/>
      <c r="AG20" s="3338"/>
      <c r="AH20" s="3338"/>
      <c r="AI20" s="3338"/>
      <c r="AJ20" s="3338"/>
      <c r="AK20" s="3338"/>
      <c r="AL20" s="3360"/>
      <c r="AM20" s="3338"/>
      <c r="AN20" s="3322"/>
      <c r="AO20" s="3347"/>
      <c r="AP20" s="3347"/>
      <c r="AQ20" s="3350"/>
    </row>
    <row r="21" spans="1:43" s="443" customFormat="1" ht="48" customHeight="1" x14ac:dyDescent="0.2">
      <c r="A21" s="436"/>
      <c r="B21" s="437"/>
      <c r="C21" s="438"/>
      <c r="D21" s="439"/>
      <c r="E21" s="437"/>
      <c r="F21" s="438"/>
      <c r="G21" s="3322"/>
      <c r="H21" s="3326"/>
      <c r="I21" s="3327"/>
      <c r="J21" s="3331"/>
      <c r="K21" s="3357"/>
      <c r="L21" s="3334"/>
      <c r="M21" s="3331"/>
      <c r="N21" s="3322"/>
      <c r="O21" s="3322"/>
      <c r="P21" s="3334"/>
      <c r="Q21" s="3341"/>
      <c r="R21" s="3366"/>
      <c r="S21" s="3334"/>
      <c r="T21" s="3357"/>
      <c r="U21" s="3368" t="s">
        <v>366</v>
      </c>
      <c r="V21" s="448">
        <f>867953723*85%-56122942</f>
        <v>681637722.54999995</v>
      </c>
      <c r="W21" s="446">
        <v>39</v>
      </c>
      <c r="X21" s="449" t="s">
        <v>364</v>
      </c>
      <c r="Y21" s="3322"/>
      <c r="Z21" s="3322"/>
      <c r="AA21" s="3338"/>
      <c r="AB21" s="3322"/>
      <c r="AC21" s="3322"/>
      <c r="AD21" s="3322"/>
      <c r="AE21" s="3322"/>
      <c r="AF21" s="3322"/>
      <c r="AG21" s="3338"/>
      <c r="AH21" s="3338"/>
      <c r="AI21" s="3338"/>
      <c r="AJ21" s="3338"/>
      <c r="AK21" s="3338"/>
      <c r="AL21" s="3360"/>
      <c r="AM21" s="3338"/>
      <c r="AN21" s="3322"/>
      <c r="AO21" s="3347"/>
      <c r="AP21" s="3347"/>
      <c r="AQ21" s="3350"/>
    </row>
    <row r="22" spans="1:43" s="443" customFormat="1" ht="48" customHeight="1" x14ac:dyDescent="0.2">
      <c r="A22" s="436"/>
      <c r="B22" s="437"/>
      <c r="C22" s="438"/>
      <c r="D22" s="439"/>
      <c r="E22" s="437"/>
      <c r="F22" s="438"/>
      <c r="G22" s="3322"/>
      <c r="H22" s="3326"/>
      <c r="I22" s="3327"/>
      <c r="J22" s="3332"/>
      <c r="K22" s="3358"/>
      <c r="L22" s="453"/>
      <c r="M22" s="3332"/>
      <c r="N22" s="3322"/>
      <c r="O22" s="3322"/>
      <c r="P22" s="3334"/>
      <c r="Q22" s="3342"/>
      <c r="R22" s="3366"/>
      <c r="S22" s="3334"/>
      <c r="T22" s="3358"/>
      <c r="U22" s="3369"/>
      <c r="V22" s="448">
        <f>0+602580100</f>
        <v>602580100</v>
      </c>
      <c r="W22" s="446">
        <v>83</v>
      </c>
      <c r="X22" s="449" t="s">
        <v>367</v>
      </c>
      <c r="Y22" s="3322"/>
      <c r="Z22" s="3322"/>
      <c r="AA22" s="3338"/>
      <c r="AB22" s="3322"/>
      <c r="AC22" s="3322"/>
      <c r="AD22" s="3322"/>
      <c r="AE22" s="3322"/>
      <c r="AF22" s="3322"/>
      <c r="AG22" s="3338"/>
      <c r="AH22" s="3338"/>
      <c r="AI22" s="3338"/>
      <c r="AJ22" s="3338"/>
      <c r="AK22" s="3338"/>
      <c r="AL22" s="3360"/>
      <c r="AM22" s="3338"/>
      <c r="AN22" s="3322"/>
      <c r="AO22" s="3347"/>
      <c r="AP22" s="3347"/>
      <c r="AQ22" s="3350"/>
    </row>
    <row r="23" spans="1:43" s="443" customFormat="1" ht="30.75" customHeight="1" x14ac:dyDescent="0.2">
      <c r="A23" s="436"/>
      <c r="B23" s="437"/>
      <c r="C23" s="438"/>
      <c r="D23" s="439"/>
      <c r="E23" s="437"/>
      <c r="F23" s="438"/>
      <c r="G23" s="3322"/>
      <c r="H23" s="3326"/>
      <c r="I23" s="3327"/>
      <c r="J23" s="3330">
        <v>116</v>
      </c>
      <c r="K23" s="3353" t="s">
        <v>368</v>
      </c>
      <c r="L23" s="3372" t="s">
        <v>349</v>
      </c>
      <c r="M23" s="3330">
        <v>10</v>
      </c>
      <c r="N23" s="3322"/>
      <c r="O23" s="3322"/>
      <c r="P23" s="3334"/>
      <c r="Q23" s="3340">
        <f>(V23+V24+V26+V25)/R15</f>
        <v>7.5053359502968223E-2</v>
      </c>
      <c r="R23" s="3366"/>
      <c r="S23" s="3334"/>
      <c r="T23" s="3353" t="s">
        <v>369</v>
      </c>
      <c r="U23" s="454" t="s">
        <v>363</v>
      </c>
      <c r="V23" s="445">
        <f>13887260+34480740</f>
        <v>48368000</v>
      </c>
      <c r="W23" s="446">
        <v>41</v>
      </c>
      <c r="X23" s="449" t="s">
        <v>370</v>
      </c>
      <c r="Y23" s="3322"/>
      <c r="Z23" s="3322"/>
      <c r="AA23" s="3338"/>
      <c r="AB23" s="3322"/>
      <c r="AC23" s="3322"/>
      <c r="AD23" s="3322"/>
      <c r="AE23" s="3322"/>
      <c r="AF23" s="3322"/>
      <c r="AG23" s="3338"/>
      <c r="AH23" s="3338"/>
      <c r="AI23" s="3338"/>
      <c r="AJ23" s="3338"/>
      <c r="AK23" s="3338"/>
      <c r="AL23" s="3360"/>
      <c r="AM23" s="3338"/>
      <c r="AN23" s="3322"/>
      <c r="AO23" s="3347"/>
      <c r="AP23" s="3347"/>
      <c r="AQ23" s="3350"/>
    </row>
    <row r="24" spans="1:43" s="443" customFormat="1" ht="32.25" customHeight="1" x14ac:dyDescent="0.2">
      <c r="A24" s="436"/>
      <c r="B24" s="437"/>
      <c r="C24" s="438"/>
      <c r="D24" s="439"/>
      <c r="E24" s="437"/>
      <c r="F24" s="438"/>
      <c r="G24" s="3322"/>
      <c r="H24" s="3326"/>
      <c r="I24" s="3327"/>
      <c r="J24" s="3331"/>
      <c r="K24" s="3354"/>
      <c r="L24" s="3372"/>
      <c r="M24" s="3331"/>
      <c r="N24" s="3322"/>
      <c r="O24" s="3322"/>
      <c r="P24" s="3334"/>
      <c r="Q24" s="3341"/>
      <c r="R24" s="3366"/>
      <c r="S24" s="3334"/>
      <c r="T24" s="3354"/>
      <c r="U24" s="455" t="s">
        <v>371</v>
      </c>
      <c r="V24" s="448">
        <f>36454056-19454056</f>
        <v>17000000</v>
      </c>
      <c r="W24" s="446">
        <v>41</v>
      </c>
      <c r="X24" s="449" t="s">
        <v>370</v>
      </c>
      <c r="Y24" s="3322"/>
      <c r="Z24" s="3322"/>
      <c r="AA24" s="3338"/>
      <c r="AB24" s="3322"/>
      <c r="AC24" s="3322"/>
      <c r="AD24" s="3322"/>
      <c r="AE24" s="3322"/>
      <c r="AF24" s="3322"/>
      <c r="AG24" s="3338"/>
      <c r="AH24" s="3338"/>
      <c r="AI24" s="3338"/>
      <c r="AJ24" s="3338"/>
      <c r="AK24" s="3338"/>
      <c r="AL24" s="3360"/>
      <c r="AM24" s="3338"/>
      <c r="AN24" s="3322"/>
      <c r="AO24" s="3347"/>
      <c r="AP24" s="3347"/>
      <c r="AQ24" s="3350"/>
    </row>
    <row r="25" spans="1:43" s="443" customFormat="1" ht="32.25" customHeight="1" x14ac:dyDescent="0.2">
      <c r="A25" s="436"/>
      <c r="B25" s="437"/>
      <c r="C25" s="438"/>
      <c r="D25" s="439"/>
      <c r="E25" s="437"/>
      <c r="F25" s="438"/>
      <c r="G25" s="3322"/>
      <c r="H25" s="3326"/>
      <c r="I25" s="3327"/>
      <c r="J25" s="3331"/>
      <c r="K25" s="3354"/>
      <c r="L25" s="3372"/>
      <c r="M25" s="3331"/>
      <c r="N25" s="3322"/>
      <c r="O25" s="3322"/>
      <c r="P25" s="3334"/>
      <c r="Q25" s="3341"/>
      <c r="R25" s="3366"/>
      <c r="S25" s="3334"/>
      <c r="T25" s="3354"/>
      <c r="U25" s="3368" t="s">
        <v>366</v>
      </c>
      <c r="V25" s="448">
        <f>123249428-15026684</f>
        <v>108222744</v>
      </c>
      <c r="W25" s="446">
        <v>41</v>
      </c>
      <c r="X25" s="449" t="s">
        <v>372</v>
      </c>
      <c r="Y25" s="3322"/>
      <c r="Z25" s="3322"/>
      <c r="AA25" s="3338"/>
      <c r="AB25" s="3322"/>
      <c r="AC25" s="3322"/>
      <c r="AD25" s="3322"/>
      <c r="AE25" s="3322"/>
      <c r="AF25" s="3322"/>
      <c r="AG25" s="3338"/>
      <c r="AH25" s="3338"/>
      <c r="AI25" s="3338"/>
      <c r="AJ25" s="3338"/>
      <c r="AK25" s="3338"/>
      <c r="AL25" s="3360"/>
      <c r="AM25" s="3338"/>
      <c r="AN25" s="3322"/>
      <c r="AO25" s="3347"/>
      <c r="AP25" s="3347"/>
      <c r="AQ25" s="3350"/>
    </row>
    <row r="26" spans="1:43" s="443" customFormat="1" ht="40.5" customHeight="1" x14ac:dyDescent="0.2">
      <c r="A26" s="436"/>
      <c r="B26" s="437"/>
      <c r="C26" s="438"/>
      <c r="D26" s="439"/>
      <c r="E26" s="437"/>
      <c r="F26" s="438"/>
      <c r="G26" s="3323"/>
      <c r="H26" s="3328"/>
      <c r="I26" s="3329"/>
      <c r="J26" s="3332"/>
      <c r="K26" s="3355"/>
      <c r="L26" s="3372"/>
      <c r="M26" s="3332"/>
      <c r="N26" s="3323"/>
      <c r="O26" s="3323"/>
      <c r="P26" s="3335"/>
      <c r="Q26" s="3342"/>
      <c r="R26" s="3367"/>
      <c r="S26" s="3335"/>
      <c r="T26" s="3355"/>
      <c r="U26" s="3369"/>
      <c r="V26" s="448">
        <f>0+67614483</f>
        <v>67614483</v>
      </c>
      <c r="W26" s="446">
        <v>83</v>
      </c>
      <c r="X26" s="456" t="s">
        <v>367</v>
      </c>
      <c r="Y26" s="3323"/>
      <c r="Z26" s="3323"/>
      <c r="AA26" s="3339"/>
      <c r="AB26" s="3323"/>
      <c r="AC26" s="3323"/>
      <c r="AD26" s="3323"/>
      <c r="AE26" s="3323"/>
      <c r="AF26" s="3323"/>
      <c r="AG26" s="3339"/>
      <c r="AH26" s="3339"/>
      <c r="AI26" s="3339"/>
      <c r="AJ26" s="3339"/>
      <c r="AK26" s="3339"/>
      <c r="AL26" s="3361"/>
      <c r="AM26" s="3339"/>
      <c r="AN26" s="3323"/>
      <c r="AO26" s="3348"/>
      <c r="AP26" s="3348"/>
      <c r="AQ26" s="3352"/>
    </row>
    <row r="27" spans="1:43" s="464" customFormat="1" ht="15" customHeight="1" x14ac:dyDescent="0.2">
      <c r="A27" s="436"/>
      <c r="B27" s="437"/>
      <c r="C27" s="438"/>
      <c r="D27" s="439"/>
      <c r="E27" s="437"/>
      <c r="F27" s="438"/>
      <c r="G27" s="457">
        <v>30</v>
      </c>
      <c r="H27" s="3370" t="s">
        <v>373</v>
      </c>
      <c r="I27" s="3371"/>
      <c r="J27" s="3371"/>
      <c r="K27" s="3371"/>
      <c r="L27" s="458"/>
      <c r="M27" s="459"/>
      <c r="N27" s="460"/>
      <c r="O27" s="459"/>
      <c r="P27" s="458"/>
      <c r="Q27" s="459"/>
      <c r="R27" s="461"/>
      <c r="S27" s="458"/>
      <c r="T27" s="458"/>
      <c r="U27" s="458"/>
      <c r="V27" s="458"/>
      <c r="W27" s="462"/>
      <c r="X27" s="460"/>
      <c r="Y27" s="459"/>
      <c r="Z27" s="459"/>
      <c r="AA27" s="459"/>
      <c r="AB27" s="459"/>
      <c r="AC27" s="459"/>
      <c r="AD27" s="459"/>
      <c r="AE27" s="459"/>
      <c r="AF27" s="459"/>
      <c r="AG27" s="459"/>
      <c r="AH27" s="459"/>
      <c r="AI27" s="459"/>
      <c r="AJ27" s="459"/>
      <c r="AK27" s="459"/>
      <c r="AL27" s="459"/>
      <c r="AM27" s="459"/>
      <c r="AN27" s="459"/>
      <c r="AO27" s="459"/>
      <c r="AP27" s="459"/>
      <c r="AQ27" s="463"/>
    </row>
    <row r="28" spans="1:43" s="443" customFormat="1" ht="63.75" customHeight="1" x14ac:dyDescent="0.2">
      <c r="A28" s="436"/>
      <c r="B28" s="437"/>
      <c r="C28" s="438"/>
      <c r="D28" s="439"/>
      <c r="E28" s="437"/>
      <c r="F28" s="438"/>
      <c r="G28" s="465"/>
      <c r="H28" s="3324"/>
      <c r="I28" s="3325"/>
      <c r="J28" s="3330">
        <v>117</v>
      </c>
      <c r="K28" s="3333" t="s">
        <v>374</v>
      </c>
      <c r="L28" s="3333" t="s">
        <v>349</v>
      </c>
      <c r="M28" s="3330">
        <v>1</v>
      </c>
      <c r="N28" s="3321" t="s">
        <v>375</v>
      </c>
      <c r="O28" s="3321" t="s">
        <v>376</v>
      </c>
      <c r="P28" s="3333" t="s">
        <v>377</v>
      </c>
      <c r="Q28" s="3362">
        <f>(V28+V29)/R28</f>
        <v>1</v>
      </c>
      <c r="R28" s="3373">
        <f>+V28+V29</f>
        <v>79500000</v>
      </c>
      <c r="S28" s="3333" t="s">
        <v>378</v>
      </c>
      <c r="T28" s="3333" t="s">
        <v>379</v>
      </c>
      <c r="U28" s="444" t="s">
        <v>380</v>
      </c>
      <c r="V28" s="466">
        <v>75525000</v>
      </c>
      <c r="W28" s="446">
        <v>20</v>
      </c>
      <c r="X28" s="467" t="s">
        <v>360</v>
      </c>
      <c r="Y28" s="3321">
        <v>75</v>
      </c>
      <c r="Z28" s="3321">
        <v>75</v>
      </c>
      <c r="AA28" s="3337"/>
      <c r="AB28" s="3337"/>
      <c r="AC28" s="3337">
        <v>150</v>
      </c>
      <c r="AD28" s="3337"/>
      <c r="AE28" s="3337"/>
      <c r="AF28" s="3337"/>
      <c r="AG28" s="3337"/>
      <c r="AH28" s="3337"/>
      <c r="AI28" s="3337"/>
      <c r="AJ28" s="3337"/>
      <c r="AK28" s="3337"/>
      <c r="AL28" s="3337"/>
      <c r="AM28" s="3337"/>
      <c r="AN28" s="3337">
        <v>150</v>
      </c>
      <c r="AO28" s="3346">
        <v>43466</v>
      </c>
      <c r="AP28" s="3346">
        <v>43830</v>
      </c>
      <c r="AQ28" s="3349" t="s">
        <v>345</v>
      </c>
    </row>
    <row r="29" spans="1:43" s="443" customFormat="1" ht="67.5" customHeight="1" x14ac:dyDescent="0.2">
      <c r="A29" s="436"/>
      <c r="B29" s="437"/>
      <c r="C29" s="438"/>
      <c r="D29" s="439"/>
      <c r="E29" s="437"/>
      <c r="F29" s="438"/>
      <c r="G29" s="465"/>
      <c r="H29" s="3328"/>
      <c r="I29" s="3329"/>
      <c r="J29" s="3332"/>
      <c r="K29" s="3335"/>
      <c r="L29" s="3335"/>
      <c r="M29" s="3332"/>
      <c r="N29" s="3323"/>
      <c r="O29" s="3323"/>
      <c r="P29" s="3335"/>
      <c r="Q29" s="3364"/>
      <c r="R29" s="3374"/>
      <c r="S29" s="3335"/>
      <c r="T29" s="3335"/>
      <c r="U29" s="468" t="s">
        <v>381</v>
      </c>
      <c r="V29" s="466">
        <v>3975000</v>
      </c>
      <c r="W29" s="446">
        <v>20</v>
      </c>
      <c r="X29" s="467" t="s">
        <v>360</v>
      </c>
      <c r="Y29" s="3323"/>
      <c r="Z29" s="3323"/>
      <c r="AA29" s="3339"/>
      <c r="AB29" s="3339"/>
      <c r="AC29" s="3339"/>
      <c r="AD29" s="3339"/>
      <c r="AE29" s="3339"/>
      <c r="AF29" s="3339"/>
      <c r="AG29" s="3339"/>
      <c r="AH29" s="3339"/>
      <c r="AI29" s="3339"/>
      <c r="AJ29" s="3339"/>
      <c r="AK29" s="3339"/>
      <c r="AL29" s="3339"/>
      <c r="AM29" s="3339"/>
      <c r="AN29" s="3339"/>
      <c r="AO29" s="3348"/>
      <c r="AP29" s="3348"/>
      <c r="AQ29" s="3352"/>
    </row>
    <row r="30" spans="1:43" s="464" customFormat="1" ht="22.5" customHeight="1" x14ac:dyDescent="0.2">
      <c r="A30" s="436"/>
      <c r="B30" s="437"/>
      <c r="C30" s="438"/>
      <c r="D30" s="439"/>
      <c r="E30" s="437"/>
      <c r="F30" s="438"/>
      <c r="G30" s="457">
        <v>31</v>
      </c>
      <c r="H30" s="3370" t="s">
        <v>382</v>
      </c>
      <c r="I30" s="3371"/>
      <c r="J30" s="3371"/>
      <c r="K30" s="3371"/>
      <c r="L30" s="458"/>
      <c r="M30" s="459"/>
      <c r="N30" s="460"/>
      <c r="O30" s="459"/>
      <c r="P30" s="458"/>
      <c r="Q30" s="459"/>
      <c r="R30" s="461"/>
      <c r="S30" s="458"/>
      <c r="T30" s="458"/>
      <c r="U30" s="458"/>
      <c r="V30" s="458"/>
      <c r="W30" s="462"/>
      <c r="X30" s="460"/>
      <c r="Y30" s="459"/>
      <c r="Z30" s="459"/>
      <c r="AA30" s="459"/>
      <c r="AB30" s="459"/>
      <c r="AC30" s="459"/>
      <c r="AD30" s="459"/>
      <c r="AE30" s="459"/>
      <c r="AF30" s="459"/>
      <c r="AG30" s="459"/>
      <c r="AH30" s="459"/>
      <c r="AI30" s="459"/>
      <c r="AJ30" s="459"/>
      <c r="AK30" s="459"/>
      <c r="AL30" s="459"/>
      <c r="AM30" s="459"/>
      <c r="AN30" s="459"/>
      <c r="AO30" s="459"/>
      <c r="AP30" s="459"/>
      <c r="AQ30" s="463"/>
    </row>
    <row r="31" spans="1:43" s="443" customFormat="1" ht="71.25" customHeight="1" x14ac:dyDescent="0.2">
      <c r="A31" s="436"/>
      <c r="B31" s="437"/>
      <c r="C31" s="438"/>
      <c r="D31" s="439"/>
      <c r="E31" s="437"/>
      <c r="F31" s="438"/>
      <c r="G31" s="465"/>
      <c r="H31" s="3324"/>
      <c r="I31" s="3325"/>
      <c r="J31" s="3330">
        <v>118</v>
      </c>
      <c r="K31" s="3353" t="s">
        <v>383</v>
      </c>
      <c r="L31" s="3333" t="s">
        <v>349</v>
      </c>
      <c r="M31" s="3330">
        <v>4</v>
      </c>
      <c r="N31" s="3321" t="s">
        <v>384</v>
      </c>
      <c r="O31" s="3321" t="s">
        <v>385</v>
      </c>
      <c r="P31" s="3353" t="s">
        <v>386</v>
      </c>
      <c r="Q31" s="3362">
        <f>R31/R31</f>
        <v>1</v>
      </c>
      <c r="R31" s="3373">
        <f>SUM(V31:V37)</f>
        <v>245423575</v>
      </c>
      <c r="S31" s="3333" t="s">
        <v>387</v>
      </c>
      <c r="T31" s="3353" t="s">
        <v>388</v>
      </c>
      <c r="U31" s="454" t="s">
        <v>389</v>
      </c>
      <c r="V31" s="466">
        <f>21698843-2698843</f>
        <v>19000000</v>
      </c>
      <c r="W31" s="446">
        <v>34</v>
      </c>
      <c r="X31" s="442" t="s">
        <v>390</v>
      </c>
      <c r="Y31" s="3337">
        <v>50476</v>
      </c>
      <c r="Z31" s="3337">
        <v>50476</v>
      </c>
      <c r="AA31" s="3337">
        <v>42400</v>
      </c>
      <c r="AB31" s="3337">
        <v>30286</v>
      </c>
      <c r="AC31" s="3337">
        <v>18171</v>
      </c>
      <c r="AD31" s="3337">
        <v>10095</v>
      </c>
      <c r="AE31" s="3337"/>
      <c r="AF31" s="3359"/>
      <c r="AG31" s="3337"/>
      <c r="AH31" s="3337"/>
      <c r="AI31" s="3337"/>
      <c r="AJ31" s="3337"/>
      <c r="AK31" s="3359"/>
      <c r="AL31" s="3359"/>
      <c r="AM31" s="3337"/>
      <c r="AN31" s="3337">
        <f>+Y31+Z31</f>
        <v>100952</v>
      </c>
      <c r="AO31" s="3346">
        <v>43466</v>
      </c>
      <c r="AP31" s="3346">
        <v>43830</v>
      </c>
      <c r="AQ31" s="3321" t="s">
        <v>345</v>
      </c>
    </row>
    <row r="32" spans="1:43" s="443" customFormat="1" ht="60" customHeight="1" x14ac:dyDescent="0.2">
      <c r="A32" s="436"/>
      <c r="B32" s="437"/>
      <c r="C32" s="438"/>
      <c r="D32" s="439"/>
      <c r="E32" s="437"/>
      <c r="F32" s="438"/>
      <c r="G32" s="465"/>
      <c r="H32" s="3326"/>
      <c r="I32" s="3327"/>
      <c r="J32" s="3331"/>
      <c r="K32" s="3354"/>
      <c r="L32" s="3334"/>
      <c r="M32" s="3331"/>
      <c r="N32" s="3322"/>
      <c r="O32" s="3322"/>
      <c r="P32" s="3354"/>
      <c r="Q32" s="3363"/>
      <c r="R32" s="3375"/>
      <c r="S32" s="3334"/>
      <c r="T32" s="3354"/>
      <c r="U32" s="454" t="s">
        <v>391</v>
      </c>
      <c r="V32" s="466">
        <f>11283398-1283398</f>
        <v>10000000</v>
      </c>
      <c r="W32" s="446">
        <v>34</v>
      </c>
      <c r="X32" s="442" t="s">
        <v>390</v>
      </c>
      <c r="Y32" s="3338"/>
      <c r="Z32" s="3338"/>
      <c r="AA32" s="3338"/>
      <c r="AB32" s="3338"/>
      <c r="AC32" s="3338"/>
      <c r="AD32" s="3338"/>
      <c r="AE32" s="3338"/>
      <c r="AF32" s="3360"/>
      <c r="AG32" s="3338"/>
      <c r="AH32" s="3338"/>
      <c r="AI32" s="3338"/>
      <c r="AJ32" s="3338"/>
      <c r="AK32" s="3360"/>
      <c r="AL32" s="3360"/>
      <c r="AM32" s="3338"/>
      <c r="AN32" s="3338"/>
      <c r="AO32" s="3347"/>
      <c r="AP32" s="3347"/>
      <c r="AQ32" s="3322"/>
    </row>
    <row r="33" spans="1:43" s="443" customFormat="1" ht="54.75" customHeight="1" x14ac:dyDescent="0.2">
      <c r="A33" s="436"/>
      <c r="B33" s="437"/>
      <c r="C33" s="438"/>
      <c r="D33" s="439"/>
      <c r="E33" s="437"/>
      <c r="F33" s="438"/>
      <c r="G33" s="465"/>
      <c r="H33" s="3326"/>
      <c r="I33" s="3327"/>
      <c r="J33" s="3331"/>
      <c r="K33" s="3354"/>
      <c r="L33" s="3334"/>
      <c r="M33" s="3331"/>
      <c r="N33" s="3322"/>
      <c r="O33" s="3322"/>
      <c r="P33" s="3354"/>
      <c r="Q33" s="3363"/>
      <c r="R33" s="3375"/>
      <c r="S33" s="3334"/>
      <c r="T33" s="3354"/>
      <c r="U33" s="454" t="s">
        <v>392</v>
      </c>
      <c r="V33" s="466">
        <f>21698843-7698843</f>
        <v>14000000</v>
      </c>
      <c r="W33" s="446">
        <v>34</v>
      </c>
      <c r="X33" s="442" t="s">
        <v>390</v>
      </c>
      <c r="Y33" s="3338"/>
      <c r="Z33" s="3338"/>
      <c r="AA33" s="3338"/>
      <c r="AB33" s="3338"/>
      <c r="AC33" s="3338"/>
      <c r="AD33" s="3338"/>
      <c r="AE33" s="3338"/>
      <c r="AF33" s="3360"/>
      <c r="AG33" s="3338"/>
      <c r="AH33" s="3338"/>
      <c r="AI33" s="3338"/>
      <c r="AJ33" s="3338"/>
      <c r="AK33" s="3360"/>
      <c r="AL33" s="3360"/>
      <c r="AM33" s="3338"/>
      <c r="AN33" s="3338"/>
      <c r="AO33" s="3347"/>
      <c r="AP33" s="3347"/>
      <c r="AQ33" s="3322"/>
    </row>
    <row r="34" spans="1:43" s="443" customFormat="1" ht="125.25" customHeight="1" x14ac:dyDescent="0.2">
      <c r="A34" s="436"/>
      <c r="B34" s="437"/>
      <c r="C34" s="438"/>
      <c r="D34" s="439"/>
      <c r="E34" s="437"/>
      <c r="F34" s="438"/>
      <c r="G34" s="465"/>
      <c r="H34" s="3326"/>
      <c r="I34" s="3327"/>
      <c r="J34" s="3331"/>
      <c r="K34" s="3354"/>
      <c r="L34" s="3334"/>
      <c r="M34" s="3331"/>
      <c r="N34" s="3322"/>
      <c r="O34" s="3322"/>
      <c r="P34" s="3354"/>
      <c r="Q34" s="3363"/>
      <c r="R34" s="3375"/>
      <c r="S34" s="3334"/>
      <c r="T34" s="3355"/>
      <c r="U34" s="454" t="s">
        <v>393</v>
      </c>
      <c r="V34" s="469">
        <f>0+28350000</f>
        <v>28350000</v>
      </c>
      <c r="W34" s="446">
        <v>159</v>
      </c>
      <c r="X34" s="442" t="s">
        <v>394</v>
      </c>
      <c r="Y34" s="3338"/>
      <c r="Z34" s="3338"/>
      <c r="AA34" s="3338"/>
      <c r="AB34" s="3338"/>
      <c r="AC34" s="3338"/>
      <c r="AD34" s="3338"/>
      <c r="AE34" s="3338"/>
      <c r="AF34" s="3360"/>
      <c r="AG34" s="3338"/>
      <c r="AH34" s="3338"/>
      <c r="AI34" s="3338"/>
      <c r="AJ34" s="3338"/>
      <c r="AK34" s="3360"/>
      <c r="AL34" s="3360"/>
      <c r="AM34" s="3338"/>
      <c r="AN34" s="3338"/>
      <c r="AO34" s="3347"/>
      <c r="AP34" s="3347"/>
      <c r="AQ34" s="3322"/>
    </row>
    <row r="35" spans="1:43" s="443" customFormat="1" ht="58.5" customHeight="1" x14ac:dyDescent="0.2">
      <c r="A35" s="436"/>
      <c r="B35" s="437"/>
      <c r="C35" s="438"/>
      <c r="D35" s="439"/>
      <c r="E35" s="437"/>
      <c r="F35" s="438"/>
      <c r="G35" s="465"/>
      <c r="H35" s="3326"/>
      <c r="I35" s="3327"/>
      <c r="J35" s="3331"/>
      <c r="K35" s="3354"/>
      <c r="L35" s="3334"/>
      <c r="M35" s="3331"/>
      <c r="N35" s="3322"/>
      <c r="O35" s="3322"/>
      <c r="P35" s="3354"/>
      <c r="Q35" s="3363"/>
      <c r="R35" s="3375"/>
      <c r="S35" s="3334"/>
      <c r="T35" s="3353" t="s">
        <v>395</v>
      </c>
      <c r="U35" s="3336" t="s">
        <v>396</v>
      </c>
      <c r="V35" s="469">
        <f>26038612-8482831</f>
        <v>17555781</v>
      </c>
      <c r="W35" s="446">
        <v>34</v>
      </c>
      <c r="X35" s="442" t="s">
        <v>397</v>
      </c>
      <c r="Y35" s="3338"/>
      <c r="Z35" s="3338"/>
      <c r="AA35" s="3338"/>
      <c r="AB35" s="3338"/>
      <c r="AC35" s="3338"/>
      <c r="AD35" s="3338"/>
      <c r="AE35" s="3338"/>
      <c r="AF35" s="3360"/>
      <c r="AG35" s="3338"/>
      <c r="AH35" s="3338"/>
      <c r="AI35" s="3338"/>
      <c r="AJ35" s="3338"/>
      <c r="AK35" s="3360"/>
      <c r="AL35" s="3360"/>
      <c r="AM35" s="3338"/>
      <c r="AN35" s="3338"/>
      <c r="AO35" s="3347"/>
      <c r="AP35" s="3347"/>
      <c r="AQ35" s="3322"/>
    </row>
    <row r="36" spans="1:43" s="443" customFormat="1" ht="58.5" customHeight="1" x14ac:dyDescent="0.2">
      <c r="A36" s="436"/>
      <c r="B36" s="437"/>
      <c r="C36" s="438"/>
      <c r="D36" s="439"/>
      <c r="E36" s="437"/>
      <c r="F36" s="438"/>
      <c r="G36" s="465"/>
      <c r="H36" s="3326"/>
      <c r="I36" s="3327"/>
      <c r="J36" s="3331"/>
      <c r="K36" s="3354"/>
      <c r="L36" s="3334"/>
      <c r="M36" s="3331"/>
      <c r="N36" s="3322"/>
      <c r="O36" s="3322"/>
      <c r="P36" s="3354"/>
      <c r="Q36" s="3363"/>
      <c r="R36" s="3375"/>
      <c r="S36" s="3334"/>
      <c r="T36" s="3354"/>
      <c r="U36" s="3336"/>
      <c r="V36" s="469">
        <f>0+43482831</f>
        <v>43482831</v>
      </c>
      <c r="W36" s="446">
        <v>83</v>
      </c>
      <c r="X36" s="442" t="s">
        <v>398</v>
      </c>
      <c r="Y36" s="3338"/>
      <c r="Z36" s="3338"/>
      <c r="AA36" s="3338"/>
      <c r="AB36" s="3338"/>
      <c r="AC36" s="3338"/>
      <c r="AD36" s="3338"/>
      <c r="AE36" s="3338"/>
      <c r="AF36" s="3360"/>
      <c r="AG36" s="3338"/>
      <c r="AH36" s="3338"/>
      <c r="AI36" s="3338"/>
      <c r="AJ36" s="3338"/>
      <c r="AK36" s="3360"/>
      <c r="AL36" s="3360"/>
      <c r="AM36" s="3338"/>
      <c r="AN36" s="3338"/>
      <c r="AO36" s="3347"/>
      <c r="AP36" s="3347"/>
      <c r="AQ36" s="3322"/>
    </row>
    <row r="37" spans="1:43" s="443" customFormat="1" ht="66.75" customHeight="1" x14ac:dyDescent="0.2">
      <c r="A37" s="436"/>
      <c r="B37" s="437"/>
      <c r="C37" s="438"/>
      <c r="D37" s="439"/>
      <c r="E37" s="437"/>
      <c r="F37" s="438"/>
      <c r="G37" s="465"/>
      <c r="H37" s="3328"/>
      <c r="I37" s="3329"/>
      <c r="J37" s="3332"/>
      <c r="K37" s="3355"/>
      <c r="L37" s="3335"/>
      <c r="M37" s="3332"/>
      <c r="N37" s="3323"/>
      <c r="O37" s="3323"/>
      <c r="P37" s="3355"/>
      <c r="Q37" s="3364"/>
      <c r="R37" s="3374"/>
      <c r="S37" s="3335"/>
      <c r="T37" s="3355"/>
      <c r="U37" s="454" t="s">
        <v>399</v>
      </c>
      <c r="V37" s="469">
        <f>65964483+47070480</f>
        <v>113034963</v>
      </c>
      <c r="W37" s="446">
        <v>34</v>
      </c>
      <c r="X37" s="442" t="s">
        <v>390</v>
      </c>
      <c r="Y37" s="3339"/>
      <c r="Z37" s="3339"/>
      <c r="AA37" s="3339"/>
      <c r="AB37" s="3339"/>
      <c r="AC37" s="3339"/>
      <c r="AD37" s="3339"/>
      <c r="AE37" s="3339"/>
      <c r="AF37" s="3361"/>
      <c r="AG37" s="3339"/>
      <c r="AH37" s="3339"/>
      <c r="AI37" s="3339"/>
      <c r="AJ37" s="3339"/>
      <c r="AK37" s="3361"/>
      <c r="AL37" s="3361"/>
      <c r="AM37" s="3339"/>
      <c r="AN37" s="3339"/>
      <c r="AO37" s="3348"/>
      <c r="AP37" s="3348"/>
      <c r="AQ37" s="3323"/>
    </row>
    <row r="38" spans="1:43" s="481" customFormat="1" ht="15" customHeight="1" x14ac:dyDescent="0.2">
      <c r="A38" s="470"/>
      <c r="B38" s="471"/>
      <c r="C38" s="472"/>
      <c r="D38" s="473">
        <v>10</v>
      </c>
      <c r="E38" s="3376" t="s">
        <v>400</v>
      </c>
      <c r="F38" s="3377"/>
      <c r="G38" s="3377"/>
      <c r="H38" s="3377"/>
      <c r="I38" s="3377"/>
      <c r="J38" s="3377"/>
      <c r="K38" s="3377"/>
      <c r="L38" s="474"/>
      <c r="M38" s="475"/>
      <c r="N38" s="476"/>
      <c r="O38" s="475"/>
      <c r="P38" s="474"/>
      <c r="Q38" s="475"/>
      <c r="R38" s="477"/>
      <c r="S38" s="474"/>
      <c r="T38" s="474"/>
      <c r="U38" s="474"/>
      <c r="V38" s="478"/>
      <c r="W38" s="479"/>
      <c r="X38" s="476"/>
      <c r="Y38" s="475"/>
      <c r="Z38" s="475"/>
      <c r="AA38" s="475"/>
      <c r="AB38" s="475"/>
      <c r="AC38" s="475"/>
      <c r="AD38" s="475"/>
      <c r="AE38" s="475"/>
      <c r="AF38" s="475"/>
      <c r="AG38" s="475"/>
      <c r="AH38" s="475"/>
      <c r="AI38" s="475"/>
      <c r="AJ38" s="475"/>
      <c r="AK38" s="475"/>
      <c r="AL38" s="475"/>
      <c r="AM38" s="475"/>
      <c r="AN38" s="475"/>
      <c r="AO38" s="475"/>
      <c r="AP38" s="475"/>
      <c r="AQ38" s="480"/>
    </row>
    <row r="39" spans="1:43" s="481" customFormat="1" ht="15" customHeight="1" x14ac:dyDescent="0.2">
      <c r="A39" s="482"/>
      <c r="B39" s="483"/>
      <c r="C39" s="483"/>
      <c r="D39" s="484"/>
      <c r="E39" s="485"/>
      <c r="F39" s="472"/>
      <c r="G39" s="457">
        <v>32</v>
      </c>
      <c r="H39" s="3370" t="s">
        <v>401</v>
      </c>
      <c r="I39" s="3371"/>
      <c r="J39" s="3371"/>
      <c r="K39" s="3371"/>
      <c r="L39" s="3371"/>
      <c r="M39" s="486"/>
      <c r="N39" s="487"/>
      <c r="O39" s="486"/>
      <c r="P39" s="488"/>
      <c r="Q39" s="486"/>
      <c r="R39" s="489"/>
      <c r="S39" s="488"/>
      <c r="T39" s="488"/>
      <c r="U39" s="488"/>
      <c r="V39" s="490"/>
      <c r="W39" s="491"/>
      <c r="X39" s="487"/>
      <c r="Y39" s="486"/>
      <c r="Z39" s="486"/>
      <c r="AA39" s="486"/>
      <c r="AB39" s="486"/>
      <c r="AC39" s="486"/>
      <c r="AD39" s="486"/>
      <c r="AE39" s="486"/>
      <c r="AF39" s="486"/>
      <c r="AG39" s="486"/>
      <c r="AH39" s="486"/>
      <c r="AI39" s="486"/>
      <c r="AJ39" s="486"/>
      <c r="AK39" s="486"/>
      <c r="AL39" s="486"/>
      <c r="AM39" s="486"/>
      <c r="AN39" s="486"/>
      <c r="AO39" s="486"/>
      <c r="AP39" s="486"/>
      <c r="AQ39" s="492"/>
    </row>
    <row r="40" spans="1:43" s="443" customFormat="1" ht="50.25" customHeight="1" x14ac:dyDescent="0.2">
      <c r="A40" s="436"/>
      <c r="B40" s="437"/>
      <c r="C40" s="437"/>
      <c r="D40" s="439"/>
      <c r="E40" s="3326"/>
      <c r="F40" s="3327"/>
      <c r="G40" s="465"/>
      <c r="H40" s="3324"/>
      <c r="I40" s="3325"/>
      <c r="J40" s="3330">
        <v>119</v>
      </c>
      <c r="K40" s="3333" t="s">
        <v>402</v>
      </c>
      <c r="L40" s="3333" t="s">
        <v>349</v>
      </c>
      <c r="M40" s="3330">
        <v>7</v>
      </c>
      <c r="N40" s="3321" t="s">
        <v>403</v>
      </c>
      <c r="O40" s="3321" t="s">
        <v>404</v>
      </c>
      <c r="P40" s="3333" t="s">
        <v>405</v>
      </c>
      <c r="Q40" s="3362">
        <v>1</v>
      </c>
      <c r="R40" s="3378">
        <f>SUM(V40:V46)</f>
        <v>550777027</v>
      </c>
      <c r="S40" s="3333" t="s">
        <v>406</v>
      </c>
      <c r="T40" s="3333" t="s">
        <v>407</v>
      </c>
      <c r="U40" s="3321" t="s">
        <v>408</v>
      </c>
      <c r="V40" s="493">
        <v>175000000</v>
      </c>
      <c r="W40" s="446">
        <v>47</v>
      </c>
      <c r="X40" s="442" t="s">
        <v>409</v>
      </c>
      <c r="Y40" s="3321">
        <v>85278</v>
      </c>
      <c r="Z40" s="3321">
        <v>85277</v>
      </c>
      <c r="AA40" s="3337">
        <v>17056</v>
      </c>
      <c r="AB40" s="3337">
        <v>34111</v>
      </c>
      <c r="AC40" s="3337">
        <v>85278</v>
      </c>
      <c r="AD40" s="3337">
        <v>25582</v>
      </c>
      <c r="AE40" s="3337">
        <v>4263.875</v>
      </c>
      <c r="AF40" s="3337">
        <v>4264</v>
      </c>
      <c r="AG40" s="3337"/>
      <c r="AH40" s="3337"/>
      <c r="AI40" s="3337"/>
      <c r="AJ40" s="494"/>
      <c r="AK40" s="494"/>
      <c r="AL40" s="494"/>
      <c r="AM40" s="494"/>
      <c r="AN40" s="3337">
        <v>170555</v>
      </c>
      <c r="AO40" s="3346">
        <v>43466</v>
      </c>
      <c r="AP40" s="3346">
        <v>43830</v>
      </c>
      <c r="AQ40" s="3321" t="s">
        <v>345</v>
      </c>
    </row>
    <row r="41" spans="1:43" s="443" customFormat="1" ht="50.25" customHeight="1" x14ac:dyDescent="0.2">
      <c r="A41" s="436"/>
      <c r="B41" s="437"/>
      <c r="C41" s="437"/>
      <c r="D41" s="439"/>
      <c r="E41" s="3326"/>
      <c r="F41" s="3327"/>
      <c r="G41" s="465"/>
      <c r="H41" s="3326"/>
      <c r="I41" s="3327"/>
      <c r="J41" s="3331"/>
      <c r="K41" s="3334"/>
      <c r="L41" s="3334"/>
      <c r="M41" s="3331"/>
      <c r="N41" s="3322"/>
      <c r="O41" s="3322"/>
      <c r="P41" s="3334"/>
      <c r="Q41" s="3363"/>
      <c r="R41" s="3379"/>
      <c r="S41" s="3334"/>
      <c r="T41" s="3334"/>
      <c r="U41" s="3322"/>
      <c r="V41" s="495">
        <v>61380526</v>
      </c>
      <c r="W41" s="496">
        <v>20</v>
      </c>
      <c r="X41" s="497" t="s">
        <v>410</v>
      </c>
      <c r="Y41" s="3322"/>
      <c r="Z41" s="3322"/>
      <c r="AA41" s="3338"/>
      <c r="AB41" s="3338"/>
      <c r="AC41" s="3338"/>
      <c r="AD41" s="3338"/>
      <c r="AE41" s="3338"/>
      <c r="AF41" s="3338"/>
      <c r="AG41" s="3338"/>
      <c r="AH41" s="3338"/>
      <c r="AI41" s="3338"/>
      <c r="AJ41" s="498"/>
      <c r="AK41" s="498"/>
      <c r="AL41" s="498"/>
      <c r="AM41" s="498"/>
      <c r="AN41" s="3338"/>
      <c r="AO41" s="3347"/>
      <c r="AP41" s="3347"/>
      <c r="AQ41" s="3322"/>
    </row>
    <row r="42" spans="1:43" s="443" customFormat="1" ht="50.25" customHeight="1" x14ac:dyDescent="0.2">
      <c r="A42" s="436"/>
      <c r="B42" s="437"/>
      <c r="C42" s="437"/>
      <c r="D42" s="439"/>
      <c r="E42" s="3326"/>
      <c r="F42" s="3327"/>
      <c r="G42" s="465"/>
      <c r="H42" s="3326"/>
      <c r="I42" s="3327"/>
      <c r="J42" s="3331"/>
      <c r="K42" s="3334"/>
      <c r="L42" s="3334"/>
      <c r="M42" s="3331"/>
      <c r="N42" s="3322"/>
      <c r="O42" s="3322"/>
      <c r="P42" s="3334"/>
      <c r="Q42" s="3363"/>
      <c r="R42" s="3379"/>
      <c r="S42" s="3334"/>
      <c r="T42" s="3334"/>
      <c r="U42" s="3323"/>
      <c r="V42" s="499">
        <f>0+219596501</f>
        <v>219596501</v>
      </c>
      <c r="W42" s="500">
        <v>93</v>
      </c>
      <c r="X42" s="456" t="s">
        <v>411</v>
      </c>
      <c r="Y42" s="3322"/>
      <c r="Z42" s="3322"/>
      <c r="AA42" s="3338"/>
      <c r="AB42" s="3338"/>
      <c r="AC42" s="3338"/>
      <c r="AD42" s="3338"/>
      <c r="AE42" s="3338"/>
      <c r="AF42" s="3338"/>
      <c r="AG42" s="3338"/>
      <c r="AH42" s="3338"/>
      <c r="AI42" s="3338"/>
      <c r="AJ42" s="498"/>
      <c r="AK42" s="498"/>
      <c r="AL42" s="498"/>
      <c r="AM42" s="498"/>
      <c r="AN42" s="3338"/>
      <c r="AO42" s="3347"/>
      <c r="AP42" s="3347"/>
      <c r="AQ42" s="3322"/>
    </row>
    <row r="43" spans="1:43" s="443" customFormat="1" ht="36" customHeight="1" x14ac:dyDescent="0.2">
      <c r="A43" s="436"/>
      <c r="B43" s="437"/>
      <c r="C43" s="437"/>
      <c r="D43" s="439"/>
      <c r="E43" s="3326"/>
      <c r="F43" s="3327"/>
      <c r="G43" s="465"/>
      <c r="H43" s="3326"/>
      <c r="I43" s="3327"/>
      <c r="J43" s="3331"/>
      <c r="K43" s="3334"/>
      <c r="L43" s="3334"/>
      <c r="M43" s="3331"/>
      <c r="N43" s="3322"/>
      <c r="O43" s="3322"/>
      <c r="P43" s="3334"/>
      <c r="Q43" s="3363"/>
      <c r="R43" s="3379"/>
      <c r="S43" s="3334"/>
      <c r="T43" s="3334"/>
      <c r="U43" s="452" t="s">
        <v>412</v>
      </c>
      <c r="V43" s="501">
        <v>1000000</v>
      </c>
      <c r="W43" s="502">
        <v>47</v>
      </c>
      <c r="X43" s="456" t="s">
        <v>409</v>
      </c>
      <c r="Y43" s="3322"/>
      <c r="Z43" s="3322"/>
      <c r="AA43" s="3338"/>
      <c r="AB43" s="3338"/>
      <c r="AC43" s="3338"/>
      <c r="AD43" s="3338"/>
      <c r="AE43" s="3338"/>
      <c r="AF43" s="3338"/>
      <c r="AG43" s="3338"/>
      <c r="AH43" s="3338"/>
      <c r="AI43" s="3338"/>
      <c r="AJ43" s="498"/>
      <c r="AK43" s="498"/>
      <c r="AL43" s="498"/>
      <c r="AM43" s="498"/>
      <c r="AN43" s="3338"/>
      <c r="AO43" s="3347"/>
      <c r="AP43" s="3347"/>
      <c r="AQ43" s="3322"/>
    </row>
    <row r="44" spans="1:43" s="443" customFormat="1" ht="48.75" customHeight="1" x14ac:dyDescent="0.2">
      <c r="A44" s="436"/>
      <c r="B44" s="437"/>
      <c r="C44" s="437"/>
      <c r="D44" s="439"/>
      <c r="E44" s="3326"/>
      <c r="F44" s="3327"/>
      <c r="G44" s="465"/>
      <c r="H44" s="3326"/>
      <c r="I44" s="3327"/>
      <c r="J44" s="3331"/>
      <c r="K44" s="3334"/>
      <c r="L44" s="3334"/>
      <c r="M44" s="3331"/>
      <c r="N44" s="3322"/>
      <c r="O44" s="3322"/>
      <c r="P44" s="3334"/>
      <c r="Q44" s="3363"/>
      <c r="R44" s="3379"/>
      <c r="S44" s="3334"/>
      <c r="T44" s="3335"/>
      <c r="U44" s="468" t="s">
        <v>413</v>
      </c>
      <c r="V44" s="503">
        <f>33800000+5613000</f>
        <v>39413000</v>
      </c>
      <c r="W44" s="446">
        <v>20</v>
      </c>
      <c r="X44" s="456" t="s">
        <v>410</v>
      </c>
      <c r="Y44" s="3322"/>
      <c r="Z44" s="3322"/>
      <c r="AA44" s="3338"/>
      <c r="AB44" s="3338"/>
      <c r="AC44" s="3338"/>
      <c r="AD44" s="3338"/>
      <c r="AE44" s="3338"/>
      <c r="AF44" s="3338"/>
      <c r="AG44" s="3338"/>
      <c r="AH44" s="3338"/>
      <c r="AI44" s="3338"/>
      <c r="AJ44" s="498"/>
      <c r="AK44" s="498"/>
      <c r="AL44" s="498"/>
      <c r="AM44" s="498"/>
      <c r="AN44" s="3338"/>
      <c r="AO44" s="3347"/>
      <c r="AP44" s="3347"/>
      <c r="AQ44" s="3322"/>
    </row>
    <row r="45" spans="1:43" s="443" customFormat="1" ht="36" customHeight="1" x14ac:dyDescent="0.2">
      <c r="A45" s="436"/>
      <c r="B45" s="437"/>
      <c r="C45" s="437"/>
      <c r="D45" s="439"/>
      <c r="E45" s="3326"/>
      <c r="F45" s="3327"/>
      <c r="G45" s="465"/>
      <c r="H45" s="3326"/>
      <c r="I45" s="3327"/>
      <c r="J45" s="3331"/>
      <c r="K45" s="3334"/>
      <c r="L45" s="3334"/>
      <c r="M45" s="3331"/>
      <c r="N45" s="3322"/>
      <c r="O45" s="3322"/>
      <c r="P45" s="3334"/>
      <c r="Q45" s="3363"/>
      <c r="R45" s="3379"/>
      <c r="S45" s="3334"/>
      <c r="T45" s="3333" t="s">
        <v>414</v>
      </c>
      <c r="U45" s="3368" t="s">
        <v>415</v>
      </c>
      <c r="V45" s="504">
        <f>54000000-5613000</f>
        <v>48387000</v>
      </c>
      <c r="W45" s="446">
        <v>20</v>
      </c>
      <c r="X45" s="456" t="s">
        <v>410</v>
      </c>
      <c r="Y45" s="3322"/>
      <c r="Z45" s="3322"/>
      <c r="AA45" s="3338"/>
      <c r="AB45" s="3338"/>
      <c r="AC45" s="3338"/>
      <c r="AD45" s="3338"/>
      <c r="AE45" s="3338"/>
      <c r="AF45" s="3338"/>
      <c r="AG45" s="3338"/>
      <c r="AH45" s="3338"/>
      <c r="AI45" s="3338"/>
      <c r="AJ45" s="498"/>
      <c r="AK45" s="498"/>
      <c r="AL45" s="498"/>
      <c r="AM45" s="498"/>
      <c r="AN45" s="3338"/>
      <c r="AO45" s="3347"/>
      <c r="AP45" s="3347"/>
      <c r="AQ45" s="3322"/>
    </row>
    <row r="46" spans="1:43" s="443" customFormat="1" ht="51" customHeight="1" x14ac:dyDescent="0.2">
      <c r="A46" s="436"/>
      <c r="B46" s="437"/>
      <c r="C46" s="437"/>
      <c r="D46" s="439"/>
      <c r="E46" s="3326"/>
      <c r="F46" s="3327"/>
      <c r="G46" s="465"/>
      <c r="H46" s="3328"/>
      <c r="I46" s="3329"/>
      <c r="J46" s="3332"/>
      <c r="K46" s="3335"/>
      <c r="L46" s="3335"/>
      <c r="M46" s="3332"/>
      <c r="N46" s="3323"/>
      <c r="O46" s="3323"/>
      <c r="P46" s="3335"/>
      <c r="Q46" s="3364"/>
      <c r="R46" s="3380"/>
      <c r="S46" s="3335"/>
      <c r="T46" s="3335"/>
      <c r="U46" s="3369"/>
      <c r="V46" s="495">
        <v>6000000</v>
      </c>
      <c r="W46" s="446">
        <v>47</v>
      </c>
      <c r="X46" s="467" t="s">
        <v>416</v>
      </c>
      <c r="Y46" s="3323"/>
      <c r="Z46" s="3323"/>
      <c r="AA46" s="3339"/>
      <c r="AB46" s="3339"/>
      <c r="AC46" s="3339"/>
      <c r="AD46" s="3339"/>
      <c r="AE46" s="3339"/>
      <c r="AF46" s="3339"/>
      <c r="AG46" s="3339"/>
      <c r="AH46" s="3339"/>
      <c r="AI46" s="3339"/>
      <c r="AJ46" s="505"/>
      <c r="AK46" s="505"/>
      <c r="AL46" s="505"/>
      <c r="AM46" s="505"/>
      <c r="AN46" s="3339"/>
      <c r="AO46" s="3348"/>
      <c r="AP46" s="3348"/>
      <c r="AQ46" s="3323"/>
    </row>
    <row r="47" spans="1:43" s="464" customFormat="1" ht="15" customHeight="1" x14ac:dyDescent="0.2">
      <c r="A47" s="506"/>
      <c r="B47" s="507"/>
      <c r="C47" s="507"/>
      <c r="D47" s="449"/>
      <c r="E47" s="3326"/>
      <c r="F47" s="3327"/>
      <c r="G47" s="457">
        <v>32</v>
      </c>
      <c r="H47" s="3370" t="s">
        <v>401</v>
      </c>
      <c r="I47" s="3371"/>
      <c r="J47" s="3371"/>
      <c r="K47" s="3371"/>
      <c r="L47" s="3371"/>
      <c r="M47" s="459"/>
      <c r="N47" s="460"/>
      <c r="O47" s="459"/>
      <c r="P47" s="458"/>
      <c r="Q47" s="459"/>
      <c r="R47" s="461"/>
      <c r="S47" s="458"/>
      <c r="T47" s="458"/>
      <c r="U47" s="458"/>
      <c r="V47" s="508"/>
      <c r="W47" s="462"/>
      <c r="X47" s="460"/>
      <c r="Y47" s="459"/>
      <c r="Z47" s="459"/>
      <c r="AA47" s="459"/>
      <c r="AB47" s="459"/>
      <c r="AC47" s="459"/>
      <c r="AD47" s="459"/>
      <c r="AE47" s="459"/>
      <c r="AF47" s="459"/>
      <c r="AG47" s="459"/>
      <c r="AH47" s="459"/>
      <c r="AI47" s="459"/>
      <c r="AJ47" s="459"/>
      <c r="AK47" s="459"/>
      <c r="AL47" s="459"/>
      <c r="AM47" s="459"/>
      <c r="AN47" s="459"/>
      <c r="AO47" s="459"/>
      <c r="AP47" s="459"/>
      <c r="AQ47" s="463"/>
    </row>
    <row r="48" spans="1:43" s="443" customFormat="1" ht="33.75" customHeight="1" x14ac:dyDescent="0.2">
      <c r="A48" s="436"/>
      <c r="B48" s="437"/>
      <c r="C48" s="437"/>
      <c r="D48" s="439"/>
      <c r="E48" s="3326"/>
      <c r="F48" s="3327"/>
      <c r="G48" s="465"/>
      <c r="H48" s="3324"/>
      <c r="I48" s="3325"/>
      <c r="J48" s="3330">
        <v>120</v>
      </c>
      <c r="K48" s="3353" t="s">
        <v>417</v>
      </c>
      <c r="L48" s="3333" t="s">
        <v>349</v>
      </c>
      <c r="M48" s="3330">
        <v>2</v>
      </c>
      <c r="N48" s="3321" t="s">
        <v>418</v>
      </c>
      <c r="O48" s="3321" t="s">
        <v>419</v>
      </c>
      <c r="P48" s="3333" t="s">
        <v>420</v>
      </c>
      <c r="Q48" s="3362">
        <f>SUM(V48/R48)</f>
        <v>0.16372795969773299</v>
      </c>
      <c r="R48" s="3378">
        <f>SUM(V48:V52)</f>
        <v>79400000</v>
      </c>
      <c r="S48" s="3333" t="s">
        <v>421</v>
      </c>
      <c r="T48" s="3383" t="s">
        <v>422</v>
      </c>
      <c r="U48" s="3333" t="s">
        <v>423</v>
      </c>
      <c r="V48" s="3384">
        <f>20000000-7000000</f>
        <v>13000000</v>
      </c>
      <c r="W48" s="3381">
        <v>20</v>
      </c>
      <c r="X48" s="3321" t="s">
        <v>357</v>
      </c>
      <c r="Y48" s="3321">
        <v>142127</v>
      </c>
      <c r="Z48" s="3321">
        <v>142127</v>
      </c>
      <c r="AA48" s="3337">
        <v>85276</v>
      </c>
      <c r="AB48" s="3337">
        <v>85276</v>
      </c>
      <c r="AC48" s="3337">
        <v>99489</v>
      </c>
      <c r="AD48" s="3337">
        <v>14213</v>
      </c>
      <c r="AE48" s="3337"/>
      <c r="AF48" s="3337"/>
      <c r="AG48" s="3337"/>
      <c r="AH48" s="3337"/>
      <c r="AI48" s="3337"/>
      <c r="AJ48" s="494"/>
      <c r="AK48" s="494"/>
      <c r="AL48" s="494"/>
      <c r="AM48" s="494"/>
      <c r="AN48" s="3337">
        <f>+Y48+Z48</f>
        <v>284254</v>
      </c>
      <c r="AO48" s="3346">
        <v>43466</v>
      </c>
      <c r="AP48" s="3346">
        <v>43830</v>
      </c>
      <c r="AQ48" s="3321" t="s">
        <v>345</v>
      </c>
    </row>
    <row r="49" spans="1:57" s="443" customFormat="1" ht="33.75" customHeight="1" x14ac:dyDescent="0.2">
      <c r="A49" s="436"/>
      <c r="B49" s="437"/>
      <c r="C49" s="437"/>
      <c r="D49" s="439"/>
      <c r="E49" s="3326"/>
      <c r="F49" s="3327"/>
      <c r="G49" s="465"/>
      <c r="H49" s="3326"/>
      <c r="I49" s="3327"/>
      <c r="J49" s="3331"/>
      <c r="K49" s="3354"/>
      <c r="L49" s="3334"/>
      <c r="M49" s="3332"/>
      <c r="N49" s="3322"/>
      <c r="O49" s="3322"/>
      <c r="P49" s="3334"/>
      <c r="Q49" s="3363"/>
      <c r="R49" s="3379"/>
      <c r="S49" s="3334"/>
      <c r="T49" s="3383"/>
      <c r="U49" s="3335"/>
      <c r="V49" s="3385"/>
      <c r="W49" s="3382"/>
      <c r="X49" s="3323"/>
      <c r="Y49" s="3322"/>
      <c r="Z49" s="3322"/>
      <c r="AA49" s="3338"/>
      <c r="AB49" s="3338"/>
      <c r="AC49" s="3338"/>
      <c r="AD49" s="3338"/>
      <c r="AE49" s="3338"/>
      <c r="AF49" s="3338"/>
      <c r="AG49" s="3338"/>
      <c r="AH49" s="3338"/>
      <c r="AI49" s="3338"/>
      <c r="AJ49" s="498"/>
      <c r="AK49" s="498"/>
      <c r="AL49" s="498"/>
      <c r="AM49" s="498"/>
      <c r="AN49" s="3338"/>
      <c r="AO49" s="3347"/>
      <c r="AP49" s="3347"/>
      <c r="AQ49" s="3322"/>
    </row>
    <row r="50" spans="1:57" s="443" customFormat="1" ht="39.75" customHeight="1" x14ac:dyDescent="0.2">
      <c r="A50" s="436"/>
      <c r="B50" s="437"/>
      <c r="C50" s="437"/>
      <c r="D50" s="439"/>
      <c r="E50" s="3326"/>
      <c r="F50" s="3327"/>
      <c r="G50" s="465"/>
      <c r="H50" s="3326"/>
      <c r="I50" s="3327"/>
      <c r="J50" s="3330">
        <v>121</v>
      </c>
      <c r="K50" s="3353" t="s">
        <v>424</v>
      </c>
      <c r="L50" s="3334"/>
      <c r="M50" s="3330">
        <v>4</v>
      </c>
      <c r="N50" s="3322"/>
      <c r="O50" s="3322"/>
      <c r="P50" s="3334"/>
      <c r="Q50" s="3362">
        <f>SUM(V50:V52/R48)</f>
        <v>0.69939546599496216</v>
      </c>
      <c r="R50" s="3379"/>
      <c r="S50" s="3334"/>
      <c r="T50" s="3353" t="s">
        <v>425</v>
      </c>
      <c r="U50" s="3333" t="s">
        <v>426</v>
      </c>
      <c r="V50" s="3384">
        <f>31760000+23772000</f>
        <v>55532000</v>
      </c>
      <c r="W50" s="3381">
        <v>20</v>
      </c>
      <c r="X50" s="3321" t="s">
        <v>357</v>
      </c>
      <c r="Y50" s="3322"/>
      <c r="Z50" s="3322"/>
      <c r="AA50" s="3338"/>
      <c r="AB50" s="3338"/>
      <c r="AC50" s="3338"/>
      <c r="AD50" s="3338"/>
      <c r="AE50" s="3338"/>
      <c r="AF50" s="3338"/>
      <c r="AG50" s="3338"/>
      <c r="AH50" s="3338"/>
      <c r="AI50" s="3338"/>
      <c r="AJ50" s="498"/>
      <c r="AK50" s="498"/>
      <c r="AL50" s="498"/>
      <c r="AM50" s="498"/>
      <c r="AN50" s="3338"/>
      <c r="AO50" s="3347"/>
      <c r="AP50" s="3347"/>
      <c r="AQ50" s="3322"/>
    </row>
    <row r="51" spans="1:57" s="443" customFormat="1" ht="52.5" customHeight="1" x14ac:dyDescent="0.2">
      <c r="A51" s="436"/>
      <c r="B51" s="437"/>
      <c r="C51" s="437"/>
      <c r="D51" s="439"/>
      <c r="E51" s="3326"/>
      <c r="F51" s="3327"/>
      <c r="G51" s="465"/>
      <c r="H51" s="3326"/>
      <c r="I51" s="3327"/>
      <c r="J51" s="3331"/>
      <c r="K51" s="3354"/>
      <c r="L51" s="3334"/>
      <c r="M51" s="3331"/>
      <c r="N51" s="3322"/>
      <c r="O51" s="3322"/>
      <c r="P51" s="3334"/>
      <c r="Q51" s="3363"/>
      <c r="R51" s="3379"/>
      <c r="S51" s="3334"/>
      <c r="T51" s="3354"/>
      <c r="U51" s="3335"/>
      <c r="V51" s="3385"/>
      <c r="W51" s="3382"/>
      <c r="X51" s="3323"/>
      <c r="Y51" s="3322"/>
      <c r="Z51" s="3322"/>
      <c r="AA51" s="3338"/>
      <c r="AB51" s="3338"/>
      <c r="AC51" s="3338"/>
      <c r="AD51" s="3338"/>
      <c r="AE51" s="3338"/>
      <c r="AF51" s="3338"/>
      <c r="AG51" s="3338"/>
      <c r="AH51" s="3338"/>
      <c r="AI51" s="3338"/>
      <c r="AJ51" s="498"/>
      <c r="AK51" s="498"/>
      <c r="AL51" s="498"/>
      <c r="AM51" s="498"/>
      <c r="AN51" s="3338"/>
      <c r="AO51" s="3347"/>
      <c r="AP51" s="3347"/>
      <c r="AQ51" s="3322"/>
    </row>
    <row r="52" spans="1:57" s="464" customFormat="1" ht="32.25" customHeight="1" thickBot="1" x14ac:dyDescent="0.25">
      <c r="A52" s="436"/>
      <c r="B52" s="437"/>
      <c r="C52" s="437"/>
      <c r="D52" s="439"/>
      <c r="E52" s="3326"/>
      <c r="F52" s="3327"/>
      <c r="G52" s="465"/>
      <c r="H52" s="3326"/>
      <c r="I52" s="3327"/>
      <c r="J52" s="3331"/>
      <c r="K52" s="3354"/>
      <c r="L52" s="3334"/>
      <c r="M52" s="3388"/>
      <c r="N52" s="3322"/>
      <c r="O52" s="3322"/>
      <c r="P52" s="3334"/>
      <c r="Q52" s="3363"/>
      <c r="R52" s="3379"/>
      <c r="S52" s="3334"/>
      <c r="T52" s="3354"/>
      <c r="U52" s="509" t="s">
        <v>427</v>
      </c>
      <c r="V52" s="510">
        <f>2382000+8486000</f>
        <v>10868000</v>
      </c>
      <c r="W52" s="511">
        <v>20</v>
      </c>
      <c r="X52" s="447" t="s">
        <v>357</v>
      </c>
      <c r="Y52" s="3322"/>
      <c r="Z52" s="3322"/>
      <c r="AA52" s="3338"/>
      <c r="AB52" s="3338"/>
      <c r="AC52" s="3338"/>
      <c r="AD52" s="3338"/>
      <c r="AE52" s="3338"/>
      <c r="AF52" s="3338"/>
      <c r="AG52" s="3338"/>
      <c r="AH52" s="3338"/>
      <c r="AI52" s="3338"/>
      <c r="AJ52" s="498"/>
      <c r="AK52" s="498"/>
      <c r="AL52" s="498"/>
      <c r="AM52" s="498"/>
      <c r="AN52" s="3338"/>
      <c r="AO52" s="3347"/>
      <c r="AP52" s="3347"/>
      <c r="AQ52" s="3322"/>
    </row>
    <row r="53" spans="1:57" s="464" customFormat="1" ht="22.5" customHeight="1" thickBot="1" x14ac:dyDescent="0.25">
      <c r="A53" s="512"/>
      <c r="B53" s="513"/>
      <c r="C53" s="513"/>
      <c r="D53" s="513"/>
      <c r="E53" s="513"/>
      <c r="F53" s="513"/>
      <c r="G53" s="513"/>
      <c r="H53" s="513"/>
      <c r="I53" s="513"/>
      <c r="J53" s="514"/>
      <c r="K53" s="515"/>
      <c r="L53" s="515"/>
      <c r="M53" s="513"/>
      <c r="N53" s="513"/>
      <c r="O53" s="513"/>
      <c r="P53" s="516" t="s">
        <v>325</v>
      </c>
      <c r="Q53" s="517"/>
      <c r="R53" s="518">
        <f>SUM(R12:R52)</f>
        <v>5418161534</v>
      </c>
      <c r="S53" s="515"/>
      <c r="T53" s="515"/>
      <c r="U53" s="515"/>
      <c r="V53" s="519">
        <f>SUM(V12:V52)</f>
        <v>5418161534</v>
      </c>
      <c r="W53" s="520"/>
      <c r="X53" s="521"/>
      <c r="Y53" s="513"/>
      <c r="Z53" s="513"/>
      <c r="AA53" s="522"/>
      <c r="AB53" s="523"/>
      <c r="AC53" s="522"/>
      <c r="AD53" s="522"/>
      <c r="AE53" s="522"/>
      <c r="AF53" s="522"/>
      <c r="AG53" s="522"/>
      <c r="AH53" s="522"/>
      <c r="AI53" s="522"/>
      <c r="AJ53" s="522"/>
      <c r="AK53" s="522"/>
      <c r="AL53" s="522"/>
      <c r="AM53" s="522"/>
      <c r="AN53" s="522"/>
      <c r="AO53" s="524"/>
      <c r="AP53" s="524"/>
      <c r="AQ53" s="525"/>
    </row>
    <row r="54" spans="1:57" s="386" customFormat="1" ht="15" x14ac:dyDescent="0.2">
      <c r="K54" s="526"/>
      <c r="L54" s="526"/>
      <c r="M54" s="527"/>
      <c r="N54" s="528"/>
      <c r="O54" s="527"/>
      <c r="P54" s="526"/>
      <c r="Q54" s="528"/>
      <c r="R54" s="529"/>
      <c r="S54" s="526"/>
      <c r="T54" s="526"/>
      <c r="U54" s="526"/>
      <c r="V54" s="530"/>
      <c r="W54" s="531"/>
      <c r="X54" s="424"/>
      <c r="Y54" s="532"/>
      <c r="Z54" s="532"/>
      <c r="AO54" s="533"/>
      <c r="AP54" s="533"/>
    </row>
    <row r="55" spans="1:57" s="386" customFormat="1" ht="15" x14ac:dyDescent="0.2">
      <c r="K55" s="526"/>
      <c r="L55" s="526"/>
      <c r="M55" s="527"/>
      <c r="N55" s="528"/>
      <c r="O55" s="527"/>
      <c r="P55" s="526"/>
      <c r="Q55" s="528"/>
      <c r="R55" s="529"/>
      <c r="S55" s="526"/>
      <c r="T55" s="526"/>
      <c r="U55" s="526"/>
      <c r="V55" s="530"/>
      <c r="W55" s="531"/>
      <c r="X55" s="424"/>
      <c r="Y55" s="532"/>
      <c r="Z55" s="532"/>
      <c r="AO55" s="533"/>
      <c r="AP55" s="533"/>
    </row>
    <row r="56" spans="1:57" s="386" customFormat="1" ht="15" x14ac:dyDescent="0.2">
      <c r="K56" s="526"/>
      <c r="L56" s="526"/>
      <c r="M56" s="527"/>
      <c r="N56" s="528"/>
      <c r="O56" s="527"/>
      <c r="P56" s="526"/>
      <c r="Q56" s="528"/>
      <c r="R56" s="529"/>
      <c r="S56" s="526"/>
      <c r="T56" s="526"/>
      <c r="U56" s="526"/>
      <c r="V56" s="530"/>
      <c r="W56" s="531"/>
      <c r="X56" s="424"/>
      <c r="Y56" s="532"/>
      <c r="Z56" s="532"/>
      <c r="AO56" s="533"/>
      <c r="AP56" s="533"/>
    </row>
    <row r="57" spans="1:57" s="386" customFormat="1" ht="15.75" x14ac:dyDescent="0.25">
      <c r="A57" s="527"/>
      <c r="B57" s="527"/>
      <c r="C57" s="527"/>
      <c r="D57" s="3386" t="s">
        <v>428</v>
      </c>
      <c r="E57" s="3386"/>
      <c r="F57" s="3386"/>
      <c r="G57" s="3386"/>
      <c r="H57" s="3386"/>
      <c r="I57" s="3386"/>
      <c r="J57" s="527"/>
      <c r="K57" s="526"/>
      <c r="L57" s="526"/>
      <c r="M57" s="534"/>
      <c r="N57" s="528"/>
      <c r="O57" s="527"/>
      <c r="P57" s="526"/>
      <c r="Q57" s="527"/>
      <c r="R57" s="535"/>
      <c r="S57" s="536"/>
      <c r="T57" s="526"/>
      <c r="U57" s="526"/>
      <c r="V57" s="530"/>
      <c r="W57" s="531"/>
      <c r="X57" s="537"/>
      <c r="Y57" s="538"/>
      <c r="Z57" s="538"/>
      <c r="AA57" s="538"/>
      <c r="AB57" s="539"/>
      <c r="AC57" s="532"/>
      <c r="AO57" s="533"/>
      <c r="AP57" s="533"/>
      <c r="BA57" s="540"/>
      <c r="BB57" s="540"/>
      <c r="BC57" s="541"/>
      <c r="BD57" s="541"/>
      <c r="BE57" s="542"/>
    </row>
    <row r="58" spans="1:57" s="386" customFormat="1" ht="15.75" x14ac:dyDescent="0.2">
      <c r="A58" s="527"/>
      <c r="B58" s="527"/>
      <c r="C58" s="527"/>
      <c r="D58" s="3387" t="s">
        <v>429</v>
      </c>
      <c r="E58" s="3387"/>
      <c r="F58" s="3387"/>
      <c r="G58" s="3387"/>
      <c r="H58" s="3387"/>
      <c r="I58" s="3387"/>
      <c r="J58" s="527"/>
      <c r="K58" s="526"/>
      <c r="L58" s="526"/>
      <c r="M58" s="534"/>
      <c r="N58" s="528"/>
      <c r="O58" s="527"/>
      <c r="P58" s="526"/>
      <c r="Q58" s="527"/>
      <c r="R58" s="535"/>
      <c r="S58" s="536"/>
      <c r="T58" s="526"/>
      <c r="U58" s="526"/>
      <c r="V58" s="543"/>
      <c r="W58" s="531"/>
      <c r="X58" s="537"/>
      <c r="Y58" s="538"/>
      <c r="Z58" s="538"/>
      <c r="AA58" s="538"/>
      <c r="AB58" s="539"/>
      <c r="AC58" s="532"/>
      <c r="AO58" s="533"/>
      <c r="AP58" s="533"/>
      <c r="AV58" s="544"/>
      <c r="AW58" s="544"/>
      <c r="BA58" s="540"/>
      <c r="BB58" s="540"/>
      <c r="BC58" s="541"/>
      <c r="BD58" s="541"/>
      <c r="BE58" s="542"/>
    </row>
  </sheetData>
  <sheetProtection password="F3F4" sheet="1" objects="1" scenarios="1"/>
  <mergeCells count="259">
    <mergeCell ref="AI48:AI52"/>
    <mergeCell ref="AN48:AN52"/>
    <mergeCell ref="AO48:AO52"/>
    <mergeCell ref="AP48:AP52"/>
    <mergeCell ref="AQ48:AQ52"/>
    <mergeCell ref="J50:J52"/>
    <mergeCell ref="K50:K52"/>
    <mergeCell ref="M50:M52"/>
    <mergeCell ref="Q50:Q52"/>
    <mergeCell ref="T50:T52"/>
    <mergeCell ref="AC48:AC52"/>
    <mergeCell ref="AD48:AD52"/>
    <mergeCell ref="AE48:AE52"/>
    <mergeCell ref="AF48:AF52"/>
    <mergeCell ref="AG48:AG52"/>
    <mergeCell ref="AH48:AH52"/>
    <mergeCell ref="W48:W49"/>
    <mergeCell ref="X48:X49"/>
    <mergeCell ref="Y48:Y52"/>
    <mergeCell ref="Z48:Z52"/>
    <mergeCell ref="AA48:AA52"/>
    <mergeCell ref="AB48:AB52"/>
    <mergeCell ref="R48:R52"/>
    <mergeCell ref="S48:S52"/>
    <mergeCell ref="T48:T49"/>
    <mergeCell ref="U48:U49"/>
    <mergeCell ref="V48:V49"/>
    <mergeCell ref="U50:U51"/>
    <mergeCell ref="V50:V51"/>
    <mergeCell ref="D57:I57"/>
    <mergeCell ref="D58:I58"/>
    <mergeCell ref="M48:M49"/>
    <mergeCell ref="N48:N52"/>
    <mergeCell ref="O48:O52"/>
    <mergeCell ref="P48:P52"/>
    <mergeCell ref="AH40:AH46"/>
    <mergeCell ref="AI40:AI46"/>
    <mergeCell ref="AN40:AN46"/>
    <mergeCell ref="S40:S46"/>
    <mergeCell ref="T40:T44"/>
    <mergeCell ref="U40:U42"/>
    <mergeCell ref="Y40:Y46"/>
    <mergeCell ref="Z40:Z46"/>
    <mergeCell ref="AA40:AA46"/>
    <mergeCell ref="T45:T46"/>
    <mergeCell ref="U45:U46"/>
    <mergeCell ref="M40:M46"/>
    <mergeCell ref="N40:N46"/>
    <mergeCell ref="O40:O46"/>
    <mergeCell ref="P40:P46"/>
    <mergeCell ref="Q40:Q46"/>
    <mergeCell ref="R40:R46"/>
    <mergeCell ref="W50:W51"/>
    <mergeCell ref="X50:X51"/>
    <mergeCell ref="Q48:Q49"/>
    <mergeCell ref="AO40:AO46"/>
    <mergeCell ref="AP40:AP46"/>
    <mergeCell ref="AQ40:AQ46"/>
    <mergeCell ref="AB40:AB46"/>
    <mergeCell ref="AC40:AC46"/>
    <mergeCell ref="AD40:AD46"/>
    <mergeCell ref="AE40:AE46"/>
    <mergeCell ref="AF40:AF46"/>
    <mergeCell ref="AG40:AG46"/>
    <mergeCell ref="E38:K38"/>
    <mergeCell ref="H39:L39"/>
    <mergeCell ref="E40:F52"/>
    <mergeCell ref="H40:I46"/>
    <mergeCell ref="J40:J46"/>
    <mergeCell ref="K40:K46"/>
    <mergeCell ref="L40:L46"/>
    <mergeCell ref="H47:L47"/>
    <mergeCell ref="H48:I52"/>
    <mergeCell ref="J48:J49"/>
    <mergeCell ref="K48:K49"/>
    <mergeCell ref="L48:L52"/>
    <mergeCell ref="AL31:AL37"/>
    <mergeCell ref="AM31:AM37"/>
    <mergeCell ref="AN31:AN37"/>
    <mergeCell ref="AO31:AO37"/>
    <mergeCell ref="AP31:AP37"/>
    <mergeCell ref="AQ31:AQ37"/>
    <mergeCell ref="AF31:AF37"/>
    <mergeCell ref="AG31:AG37"/>
    <mergeCell ref="AH31:AH37"/>
    <mergeCell ref="AI31:AI37"/>
    <mergeCell ref="AJ31:AJ37"/>
    <mergeCell ref="AK31:AK37"/>
    <mergeCell ref="Z31:Z37"/>
    <mergeCell ref="AA31:AA37"/>
    <mergeCell ref="AB31:AB37"/>
    <mergeCell ref="AC31:AC37"/>
    <mergeCell ref="AD31:AD37"/>
    <mergeCell ref="AE31:AE37"/>
    <mergeCell ref="P31:P37"/>
    <mergeCell ref="Q31:Q37"/>
    <mergeCell ref="R31:R37"/>
    <mergeCell ref="S31:S37"/>
    <mergeCell ref="T31:T34"/>
    <mergeCell ref="Y31:Y37"/>
    <mergeCell ref="T35:T37"/>
    <mergeCell ref="U35:U36"/>
    <mergeCell ref="AP28:AP29"/>
    <mergeCell ref="AQ28:AQ29"/>
    <mergeCell ref="H30:K30"/>
    <mergeCell ref="H31:I37"/>
    <mergeCell ref="J31:J37"/>
    <mergeCell ref="K31:K37"/>
    <mergeCell ref="L31:L37"/>
    <mergeCell ref="M31:M37"/>
    <mergeCell ref="N31:N37"/>
    <mergeCell ref="O31:O37"/>
    <mergeCell ref="AJ28:AJ29"/>
    <mergeCell ref="AK28:AK29"/>
    <mergeCell ref="AL28:AL29"/>
    <mergeCell ref="AM28:AM29"/>
    <mergeCell ref="AN28:AN29"/>
    <mergeCell ref="AO28:AO29"/>
    <mergeCell ref="AD28:AD29"/>
    <mergeCell ref="AE28:AE29"/>
    <mergeCell ref="AF28:AF29"/>
    <mergeCell ref="AG28:AG29"/>
    <mergeCell ref="AH28:AH29"/>
    <mergeCell ref="AI28:AI29"/>
    <mergeCell ref="T28:T29"/>
    <mergeCell ref="Y28:Y29"/>
    <mergeCell ref="Z28:Z29"/>
    <mergeCell ref="AA28:AA29"/>
    <mergeCell ref="AB28:AB29"/>
    <mergeCell ref="AC28:AC29"/>
    <mergeCell ref="N28:N29"/>
    <mergeCell ref="O28:O29"/>
    <mergeCell ref="P28:P29"/>
    <mergeCell ref="Q28:Q29"/>
    <mergeCell ref="R28:R29"/>
    <mergeCell ref="S28:S29"/>
    <mergeCell ref="H27:K27"/>
    <mergeCell ref="H28:I29"/>
    <mergeCell ref="J28:J29"/>
    <mergeCell ref="K28:K29"/>
    <mergeCell ref="L28:L29"/>
    <mergeCell ref="M28:M29"/>
    <mergeCell ref="J23:J26"/>
    <mergeCell ref="K23:K26"/>
    <mergeCell ref="L23:L26"/>
    <mergeCell ref="M23:M26"/>
    <mergeCell ref="AE15:AE26"/>
    <mergeCell ref="P15:P26"/>
    <mergeCell ref="Q15:Q18"/>
    <mergeCell ref="R15:R26"/>
    <mergeCell ref="S15:S26"/>
    <mergeCell ref="T15:T18"/>
    <mergeCell ref="Y15:Y26"/>
    <mergeCell ref="U16:U17"/>
    <mergeCell ref="U21:U22"/>
    <mergeCell ref="U25:U26"/>
    <mergeCell ref="AM15:AM26"/>
    <mergeCell ref="AN15:AN26"/>
    <mergeCell ref="AO15:AO26"/>
    <mergeCell ref="AP15:AP26"/>
    <mergeCell ref="AQ15:AQ26"/>
    <mergeCell ref="AF15:AF26"/>
    <mergeCell ref="AG15:AG26"/>
    <mergeCell ref="AH15:AH26"/>
    <mergeCell ref="AI15:AI26"/>
    <mergeCell ref="AJ15:AJ26"/>
    <mergeCell ref="AK15:AK26"/>
    <mergeCell ref="AL15:AL26"/>
    <mergeCell ref="AK12:AK14"/>
    <mergeCell ref="AL12:AL14"/>
    <mergeCell ref="AM12:AM14"/>
    <mergeCell ref="AB12:AB14"/>
    <mergeCell ref="AC12:AC14"/>
    <mergeCell ref="AD12:AD14"/>
    <mergeCell ref="AE12:AE14"/>
    <mergeCell ref="AF12:AF14"/>
    <mergeCell ref="AG12:AG14"/>
    <mergeCell ref="J15:J18"/>
    <mergeCell ref="K15:K18"/>
    <mergeCell ref="L15:L18"/>
    <mergeCell ref="M15:M18"/>
    <mergeCell ref="N15:N26"/>
    <mergeCell ref="O15:O26"/>
    <mergeCell ref="AH12:AH14"/>
    <mergeCell ref="AI12:AI14"/>
    <mergeCell ref="AJ12:AJ14"/>
    <mergeCell ref="S12:S14"/>
    <mergeCell ref="T12:T14"/>
    <mergeCell ref="Q23:Q26"/>
    <mergeCell ref="T23:T26"/>
    <mergeCell ref="J19:J22"/>
    <mergeCell ref="K19:K22"/>
    <mergeCell ref="L19:L21"/>
    <mergeCell ref="M19:M22"/>
    <mergeCell ref="Q19:Q22"/>
    <mergeCell ref="T19:T22"/>
    <mergeCell ref="Z15:Z26"/>
    <mergeCell ref="AA15:AA26"/>
    <mergeCell ref="AB15:AB26"/>
    <mergeCell ref="AC15:AC26"/>
    <mergeCell ref="AD15:AD26"/>
    <mergeCell ref="AO9:AQ9"/>
    <mergeCell ref="E10:K10"/>
    <mergeCell ref="AO10:AQ10"/>
    <mergeCell ref="H11:K11"/>
    <mergeCell ref="AO11:AQ11"/>
    <mergeCell ref="G12:G26"/>
    <mergeCell ref="H12:I26"/>
    <mergeCell ref="J12:J14"/>
    <mergeCell ref="K12:K14"/>
    <mergeCell ref="L12:L14"/>
    <mergeCell ref="U12:U13"/>
    <mergeCell ref="Y12:Y14"/>
    <mergeCell ref="Z12:Z14"/>
    <mergeCell ref="AA12:AA14"/>
    <mergeCell ref="M12:M14"/>
    <mergeCell ref="N12:N14"/>
    <mergeCell ref="O12:O14"/>
    <mergeCell ref="P12:P14"/>
    <mergeCell ref="Q12:Q14"/>
    <mergeCell ref="R12:R14"/>
    <mergeCell ref="AN12:AN14"/>
    <mergeCell ref="AO12:AO14"/>
    <mergeCell ref="AP12:AP14"/>
    <mergeCell ref="AQ12:AQ14"/>
    <mergeCell ref="AN7:AN8"/>
    <mergeCell ref="AO7:AO8"/>
    <mergeCell ref="AP7:AP8"/>
    <mergeCell ref="AQ7:AQ8"/>
    <mergeCell ref="U7:U8"/>
    <mergeCell ref="V7:V8"/>
    <mergeCell ref="W7:W8"/>
    <mergeCell ref="X7:X8"/>
    <mergeCell ref="Y7:Z7"/>
    <mergeCell ref="AA7:AD7"/>
    <mergeCell ref="A1:AN4"/>
    <mergeCell ref="A5:M6"/>
    <mergeCell ref="P5:AQ5"/>
    <mergeCell ref="P6:X6"/>
    <mergeCell ref="AO6:AQ6"/>
    <mergeCell ref="A7:A8"/>
    <mergeCell ref="B7:C8"/>
    <mergeCell ref="D7:D8"/>
    <mergeCell ref="E7:F8"/>
    <mergeCell ref="G7:G8"/>
    <mergeCell ref="O7:O8"/>
    <mergeCell ref="P7:P8"/>
    <mergeCell ref="Q7:Q8"/>
    <mergeCell ref="R7:R8"/>
    <mergeCell ref="S7:S8"/>
    <mergeCell ref="T7:T8"/>
    <mergeCell ref="H7:I8"/>
    <mergeCell ref="J7:J8"/>
    <mergeCell ref="K7:K8"/>
    <mergeCell ref="L7:L8"/>
    <mergeCell ref="M7:M8"/>
    <mergeCell ref="N7:N8"/>
    <mergeCell ref="AE7:AJ7"/>
    <mergeCell ref="AK7:AM7"/>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98"/>
  <sheetViews>
    <sheetView showGridLines="0" topLeftCell="O1" zoomScale="60" zoomScaleNormal="60" workbookViewId="0">
      <selection activeCell="T13" sqref="T13:T22"/>
    </sheetView>
  </sheetViews>
  <sheetFormatPr baseColWidth="10" defaultColWidth="11.42578125" defaultRowHeight="11.25" customHeight="1" x14ac:dyDescent="0.2"/>
  <cols>
    <col min="1" max="1" width="15" style="1717" customWidth="1"/>
    <col min="2" max="2" width="10.42578125" style="1498" customWidth="1"/>
    <col min="3" max="3" width="11.42578125" style="1498" customWidth="1"/>
    <col min="4" max="4" width="14.7109375" style="1498" customWidth="1"/>
    <col min="5" max="5" width="5.7109375" style="1498" customWidth="1"/>
    <col min="6" max="6" width="12.85546875" style="1498" customWidth="1"/>
    <col min="7" max="7" width="19.5703125" style="1498" customWidth="1"/>
    <col min="8" max="8" width="8.85546875" style="1498" customWidth="1"/>
    <col min="9" max="9" width="18.42578125" style="1498" customWidth="1"/>
    <col min="10" max="10" width="18.5703125" style="1498" customWidth="1"/>
    <col min="11" max="11" width="22.28515625" style="1721" customWidth="1"/>
    <col min="12" max="12" width="27.42578125" style="1719" customWidth="1"/>
    <col min="13" max="13" width="10.140625" style="1497" customWidth="1"/>
    <col min="14" max="14" width="34.140625" style="1497" customWidth="1"/>
    <col min="15" max="15" width="21.5703125" style="1720" customWidth="1"/>
    <col min="16" max="16" width="25" style="1721" customWidth="1"/>
    <col min="17" max="17" width="13" style="2478" customWidth="1"/>
    <col min="18" max="18" width="30.28515625" style="2479" customWidth="1"/>
    <col min="19" max="19" width="23.5703125" style="1721" customWidth="1"/>
    <col min="20" max="20" width="30.5703125" style="1721" customWidth="1"/>
    <col min="21" max="21" width="32.28515625" style="1721" customWidth="1"/>
    <col min="22" max="22" width="29.5703125" style="1734" customWidth="1"/>
    <col min="23" max="23" width="12.5703125" style="1726" customWidth="1"/>
    <col min="24" max="24" width="17.28515625" style="1727" customWidth="1"/>
    <col min="25" max="25" width="11" style="2481" customWidth="1"/>
    <col min="26" max="26" width="11.85546875" style="2481" customWidth="1"/>
    <col min="27" max="27" width="12.7109375" style="1498" customWidth="1"/>
    <col min="28" max="28" width="11.28515625" style="1498" customWidth="1"/>
    <col min="29" max="29" width="12.5703125" style="1498" customWidth="1"/>
    <col min="30" max="30" width="10.140625" style="1498" customWidth="1"/>
    <col min="31" max="39" width="7.5703125" style="1498" customWidth="1"/>
    <col min="40" max="40" width="14.42578125" style="2481" customWidth="1"/>
    <col min="41" max="41" width="16.85546875" style="2482" customWidth="1"/>
    <col min="42" max="42" width="19.42578125" style="2482" customWidth="1"/>
    <col min="43" max="43" width="24" style="2483" customWidth="1"/>
    <col min="44" max="256" width="11.42578125" style="1498"/>
    <col min="257" max="257" width="13.140625" style="1498" customWidth="1"/>
    <col min="258" max="258" width="4" style="1498" customWidth="1"/>
    <col min="259" max="259" width="12.85546875" style="1498" customWidth="1"/>
    <col min="260" max="260" width="14.7109375" style="1498" customWidth="1"/>
    <col min="261" max="261" width="10" style="1498" customWidth="1"/>
    <col min="262" max="262" width="6.28515625" style="1498" customWidth="1"/>
    <col min="263" max="263" width="12.28515625" style="1498" customWidth="1"/>
    <col min="264" max="264" width="8.5703125" style="1498" customWidth="1"/>
    <col min="265" max="265" width="13.7109375" style="1498" customWidth="1"/>
    <col min="266" max="266" width="11.5703125" style="1498" customWidth="1"/>
    <col min="267" max="267" width="24.7109375" style="1498" customWidth="1"/>
    <col min="268" max="268" width="17.42578125" style="1498" customWidth="1"/>
    <col min="269" max="269" width="20.85546875" style="1498" customWidth="1"/>
    <col min="270" max="270" width="26.85546875" style="1498" customWidth="1"/>
    <col min="271" max="271" width="8" style="1498" customWidth="1"/>
    <col min="272" max="272" width="25" style="1498" customWidth="1"/>
    <col min="273" max="273" width="12.7109375" style="1498" customWidth="1"/>
    <col min="274" max="274" width="16.42578125" style="1498" customWidth="1"/>
    <col min="275" max="275" width="23.5703125" style="1498" customWidth="1"/>
    <col min="276" max="276" width="33.7109375" style="1498" customWidth="1"/>
    <col min="277" max="277" width="31.140625" style="1498" customWidth="1"/>
    <col min="278" max="278" width="19.28515625" style="1498" customWidth="1"/>
    <col min="279" max="279" width="11.7109375" style="1498" customWidth="1"/>
    <col min="280" max="280" width="15.42578125" style="1498" customWidth="1"/>
    <col min="281" max="281" width="5.5703125" style="1498" customWidth="1"/>
    <col min="282" max="282" width="4.7109375" style="1498" customWidth="1"/>
    <col min="283" max="284" width="7.28515625" style="1498" customWidth="1"/>
    <col min="285" max="285" width="8.42578125" style="1498" customWidth="1"/>
    <col min="286" max="286" width="9.5703125" style="1498" customWidth="1"/>
    <col min="287" max="287" width="6.28515625" style="1498" customWidth="1"/>
    <col min="288" max="288" width="5.85546875" style="1498" customWidth="1"/>
    <col min="289" max="290" width="4.42578125" style="1498" customWidth="1"/>
    <col min="291" max="291" width="5" style="1498" customWidth="1"/>
    <col min="292" max="292" width="5.85546875" style="1498" customWidth="1"/>
    <col min="293" max="293" width="6.140625" style="1498" customWidth="1"/>
    <col min="294" max="294" width="6.28515625" style="1498" customWidth="1"/>
    <col min="295" max="295" width="4.85546875" style="1498" customWidth="1"/>
    <col min="296" max="296" width="8.140625" style="1498" customWidth="1"/>
    <col min="297" max="297" width="11.5703125" style="1498" customWidth="1"/>
    <col min="298" max="298" width="13.7109375" style="1498" customWidth="1"/>
    <col min="299" max="299" width="20.85546875" style="1498" customWidth="1"/>
    <col min="300" max="512" width="11.42578125" style="1498"/>
    <col min="513" max="513" width="13.140625" style="1498" customWidth="1"/>
    <col min="514" max="514" width="4" style="1498" customWidth="1"/>
    <col min="515" max="515" width="12.85546875" style="1498" customWidth="1"/>
    <col min="516" max="516" width="14.7109375" style="1498" customWidth="1"/>
    <col min="517" max="517" width="10" style="1498" customWidth="1"/>
    <col min="518" max="518" width="6.28515625" style="1498" customWidth="1"/>
    <col min="519" max="519" width="12.28515625" style="1498" customWidth="1"/>
    <col min="520" max="520" width="8.5703125" style="1498" customWidth="1"/>
    <col min="521" max="521" width="13.7109375" style="1498" customWidth="1"/>
    <col min="522" max="522" width="11.5703125" style="1498" customWidth="1"/>
    <col min="523" max="523" width="24.7109375" style="1498" customWidth="1"/>
    <col min="524" max="524" width="17.42578125" style="1498" customWidth="1"/>
    <col min="525" max="525" width="20.85546875" style="1498" customWidth="1"/>
    <col min="526" max="526" width="26.85546875" style="1498" customWidth="1"/>
    <col min="527" max="527" width="8" style="1498" customWidth="1"/>
    <col min="528" max="528" width="25" style="1498" customWidth="1"/>
    <col min="529" max="529" width="12.7109375" style="1498" customWidth="1"/>
    <col min="530" max="530" width="16.42578125" style="1498" customWidth="1"/>
    <col min="531" max="531" width="23.5703125" style="1498" customWidth="1"/>
    <col min="532" max="532" width="33.7109375" style="1498" customWidth="1"/>
    <col min="533" max="533" width="31.140625" style="1498" customWidth="1"/>
    <col min="534" max="534" width="19.28515625" style="1498" customWidth="1"/>
    <col min="535" max="535" width="11.7109375" style="1498" customWidth="1"/>
    <col min="536" max="536" width="15.42578125" style="1498" customWidth="1"/>
    <col min="537" max="537" width="5.5703125" style="1498" customWidth="1"/>
    <col min="538" max="538" width="4.7109375" style="1498" customWidth="1"/>
    <col min="539" max="540" width="7.28515625" style="1498" customWidth="1"/>
    <col min="541" max="541" width="8.42578125" style="1498" customWidth="1"/>
    <col min="542" max="542" width="9.5703125" style="1498" customWidth="1"/>
    <col min="543" max="543" width="6.28515625" style="1498" customWidth="1"/>
    <col min="544" max="544" width="5.85546875" style="1498" customWidth="1"/>
    <col min="545" max="546" width="4.42578125" style="1498" customWidth="1"/>
    <col min="547" max="547" width="5" style="1498" customWidth="1"/>
    <col min="548" max="548" width="5.85546875" style="1498" customWidth="1"/>
    <col min="549" max="549" width="6.140625" style="1498" customWidth="1"/>
    <col min="550" max="550" width="6.28515625" style="1498" customWidth="1"/>
    <col min="551" max="551" width="4.85546875" style="1498" customWidth="1"/>
    <col min="552" max="552" width="8.140625" style="1498" customWidth="1"/>
    <col min="553" max="553" width="11.5703125" style="1498" customWidth="1"/>
    <col min="554" max="554" width="13.7109375" style="1498" customWidth="1"/>
    <col min="555" max="555" width="20.85546875" style="1498" customWidth="1"/>
    <col min="556" max="768" width="11.42578125" style="1498"/>
    <col min="769" max="769" width="13.140625" style="1498" customWidth="1"/>
    <col min="770" max="770" width="4" style="1498" customWidth="1"/>
    <col min="771" max="771" width="12.85546875" style="1498" customWidth="1"/>
    <col min="772" max="772" width="14.7109375" style="1498" customWidth="1"/>
    <col min="773" max="773" width="10" style="1498" customWidth="1"/>
    <col min="774" max="774" width="6.28515625" style="1498" customWidth="1"/>
    <col min="775" max="775" width="12.28515625" style="1498" customWidth="1"/>
    <col min="776" max="776" width="8.5703125" style="1498" customWidth="1"/>
    <col min="777" max="777" width="13.7109375" style="1498" customWidth="1"/>
    <col min="778" max="778" width="11.5703125" style="1498" customWidth="1"/>
    <col min="779" max="779" width="24.7109375" style="1498" customWidth="1"/>
    <col min="780" max="780" width="17.42578125" style="1498" customWidth="1"/>
    <col min="781" max="781" width="20.85546875" style="1498" customWidth="1"/>
    <col min="782" max="782" width="26.85546875" style="1498" customWidth="1"/>
    <col min="783" max="783" width="8" style="1498" customWidth="1"/>
    <col min="784" max="784" width="25" style="1498" customWidth="1"/>
    <col min="785" max="785" width="12.7109375" style="1498" customWidth="1"/>
    <col min="786" max="786" width="16.42578125" style="1498" customWidth="1"/>
    <col min="787" max="787" width="23.5703125" style="1498" customWidth="1"/>
    <col min="788" max="788" width="33.7109375" style="1498" customWidth="1"/>
    <col min="789" max="789" width="31.140625" style="1498" customWidth="1"/>
    <col min="790" max="790" width="19.28515625" style="1498" customWidth="1"/>
    <col min="791" max="791" width="11.7109375" style="1498" customWidth="1"/>
    <col min="792" max="792" width="15.42578125" style="1498" customWidth="1"/>
    <col min="793" max="793" width="5.5703125" style="1498" customWidth="1"/>
    <col min="794" max="794" width="4.7109375" style="1498" customWidth="1"/>
    <col min="795" max="796" width="7.28515625" style="1498" customWidth="1"/>
    <col min="797" max="797" width="8.42578125" style="1498" customWidth="1"/>
    <col min="798" max="798" width="9.5703125" style="1498" customWidth="1"/>
    <col min="799" max="799" width="6.28515625" style="1498" customWidth="1"/>
    <col min="800" max="800" width="5.85546875" style="1498" customWidth="1"/>
    <col min="801" max="802" width="4.42578125" style="1498" customWidth="1"/>
    <col min="803" max="803" width="5" style="1498" customWidth="1"/>
    <col min="804" max="804" width="5.85546875" style="1498" customWidth="1"/>
    <col min="805" max="805" width="6.140625" style="1498" customWidth="1"/>
    <col min="806" max="806" width="6.28515625" style="1498" customWidth="1"/>
    <col min="807" max="807" width="4.85546875" style="1498" customWidth="1"/>
    <col min="808" max="808" width="8.140625" style="1498" customWidth="1"/>
    <col min="809" max="809" width="11.5703125" style="1498" customWidth="1"/>
    <col min="810" max="810" width="13.7109375" style="1498" customWidth="1"/>
    <col min="811" max="811" width="20.85546875" style="1498" customWidth="1"/>
    <col min="812" max="1024" width="11.42578125" style="1498"/>
    <col min="1025" max="1025" width="13.140625" style="1498" customWidth="1"/>
    <col min="1026" max="1026" width="4" style="1498" customWidth="1"/>
    <col min="1027" max="1027" width="12.85546875" style="1498" customWidth="1"/>
    <col min="1028" max="1028" width="14.7109375" style="1498" customWidth="1"/>
    <col min="1029" max="1029" width="10" style="1498" customWidth="1"/>
    <col min="1030" max="1030" width="6.28515625" style="1498" customWidth="1"/>
    <col min="1031" max="1031" width="12.28515625" style="1498" customWidth="1"/>
    <col min="1032" max="1032" width="8.5703125" style="1498" customWidth="1"/>
    <col min="1033" max="1033" width="13.7109375" style="1498" customWidth="1"/>
    <col min="1034" max="1034" width="11.5703125" style="1498" customWidth="1"/>
    <col min="1035" max="1035" width="24.7109375" style="1498" customWidth="1"/>
    <col min="1036" max="1036" width="17.42578125" style="1498" customWidth="1"/>
    <col min="1037" max="1037" width="20.85546875" style="1498" customWidth="1"/>
    <col min="1038" max="1038" width="26.85546875" style="1498" customWidth="1"/>
    <col min="1039" max="1039" width="8" style="1498" customWidth="1"/>
    <col min="1040" max="1040" width="25" style="1498" customWidth="1"/>
    <col min="1041" max="1041" width="12.7109375" style="1498" customWidth="1"/>
    <col min="1042" max="1042" width="16.42578125" style="1498" customWidth="1"/>
    <col min="1043" max="1043" width="23.5703125" style="1498" customWidth="1"/>
    <col min="1044" max="1044" width="33.7109375" style="1498" customWidth="1"/>
    <col min="1045" max="1045" width="31.140625" style="1498" customWidth="1"/>
    <col min="1046" max="1046" width="19.28515625" style="1498" customWidth="1"/>
    <col min="1047" max="1047" width="11.7109375" style="1498" customWidth="1"/>
    <col min="1048" max="1048" width="15.42578125" style="1498" customWidth="1"/>
    <col min="1049" max="1049" width="5.5703125" style="1498" customWidth="1"/>
    <col min="1050" max="1050" width="4.7109375" style="1498" customWidth="1"/>
    <col min="1051" max="1052" width="7.28515625" style="1498" customWidth="1"/>
    <col min="1053" max="1053" width="8.42578125" style="1498" customWidth="1"/>
    <col min="1054" max="1054" width="9.5703125" style="1498" customWidth="1"/>
    <col min="1055" max="1055" width="6.28515625" style="1498" customWidth="1"/>
    <col min="1056" max="1056" width="5.85546875" style="1498" customWidth="1"/>
    <col min="1057" max="1058" width="4.42578125" style="1498" customWidth="1"/>
    <col min="1059" max="1059" width="5" style="1498" customWidth="1"/>
    <col min="1060" max="1060" width="5.85546875" style="1498" customWidth="1"/>
    <col min="1061" max="1061" width="6.140625" style="1498" customWidth="1"/>
    <col min="1062" max="1062" width="6.28515625" style="1498" customWidth="1"/>
    <col min="1063" max="1063" width="4.85546875" style="1498" customWidth="1"/>
    <col min="1064" max="1064" width="8.140625" style="1498" customWidth="1"/>
    <col min="1065" max="1065" width="11.5703125" style="1498" customWidth="1"/>
    <col min="1066" max="1066" width="13.7109375" style="1498" customWidth="1"/>
    <col min="1067" max="1067" width="20.85546875" style="1498" customWidth="1"/>
    <col min="1068" max="1280" width="11.42578125" style="1498"/>
    <col min="1281" max="1281" width="13.140625" style="1498" customWidth="1"/>
    <col min="1282" max="1282" width="4" style="1498" customWidth="1"/>
    <col min="1283" max="1283" width="12.85546875" style="1498" customWidth="1"/>
    <col min="1284" max="1284" width="14.7109375" style="1498" customWidth="1"/>
    <col min="1285" max="1285" width="10" style="1498" customWidth="1"/>
    <col min="1286" max="1286" width="6.28515625" style="1498" customWidth="1"/>
    <col min="1287" max="1287" width="12.28515625" style="1498" customWidth="1"/>
    <col min="1288" max="1288" width="8.5703125" style="1498" customWidth="1"/>
    <col min="1289" max="1289" width="13.7109375" style="1498" customWidth="1"/>
    <col min="1290" max="1290" width="11.5703125" style="1498" customWidth="1"/>
    <col min="1291" max="1291" width="24.7109375" style="1498" customWidth="1"/>
    <col min="1292" max="1292" width="17.42578125" style="1498" customWidth="1"/>
    <col min="1293" max="1293" width="20.85546875" style="1498" customWidth="1"/>
    <col min="1294" max="1294" width="26.85546875" style="1498" customWidth="1"/>
    <col min="1295" max="1295" width="8" style="1498" customWidth="1"/>
    <col min="1296" max="1296" width="25" style="1498" customWidth="1"/>
    <col min="1297" max="1297" width="12.7109375" style="1498" customWidth="1"/>
    <col min="1298" max="1298" width="16.42578125" style="1498" customWidth="1"/>
    <col min="1299" max="1299" width="23.5703125" style="1498" customWidth="1"/>
    <col min="1300" max="1300" width="33.7109375" style="1498" customWidth="1"/>
    <col min="1301" max="1301" width="31.140625" style="1498" customWidth="1"/>
    <col min="1302" max="1302" width="19.28515625" style="1498" customWidth="1"/>
    <col min="1303" max="1303" width="11.7109375" style="1498" customWidth="1"/>
    <col min="1304" max="1304" width="15.42578125" style="1498" customWidth="1"/>
    <col min="1305" max="1305" width="5.5703125" style="1498" customWidth="1"/>
    <col min="1306" max="1306" width="4.7109375" style="1498" customWidth="1"/>
    <col min="1307" max="1308" width="7.28515625" style="1498" customWidth="1"/>
    <col min="1309" max="1309" width="8.42578125" style="1498" customWidth="1"/>
    <col min="1310" max="1310" width="9.5703125" style="1498" customWidth="1"/>
    <col min="1311" max="1311" width="6.28515625" style="1498" customWidth="1"/>
    <col min="1312" max="1312" width="5.85546875" style="1498" customWidth="1"/>
    <col min="1313" max="1314" width="4.42578125" style="1498" customWidth="1"/>
    <col min="1315" max="1315" width="5" style="1498" customWidth="1"/>
    <col min="1316" max="1316" width="5.85546875" style="1498" customWidth="1"/>
    <col min="1317" max="1317" width="6.140625" style="1498" customWidth="1"/>
    <col min="1318" max="1318" width="6.28515625" style="1498" customWidth="1"/>
    <col min="1319" max="1319" width="4.85546875" style="1498" customWidth="1"/>
    <col min="1320" max="1320" width="8.140625" style="1498" customWidth="1"/>
    <col min="1321" max="1321" width="11.5703125" style="1498" customWidth="1"/>
    <col min="1322" max="1322" width="13.7109375" style="1498" customWidth="1"/>
    <col min="1323" max="1323" width="20.85546875" style="1498" customWidth="1"/>
    <col min="1324" max="1536" width="11.42578125" style="1498"/>
    <col min="1537" max="1537" width="13.140625" style="1498" customWidth="1"/>
    <col min="1538" max="1538" width="4" style="1498" customWidth="1"/>
    <col min="1539" max="1539" width="12.85546875" style="1498" customWidth="1"/>
    <col min="1540" max="1540" width="14.7109375" style="1498" customWidth="1"/>
    <col min="1541" max="1541" width="10" style="1498" customWidth="1"/>
    <col min="1542" max="1542" width="6.28515625" style="1498" customWidth="1"/>
    <col min="1543" max="1543" width="12.28515625" style="1498" customWidth="1"/>
    <col min="1544" max="1544" width="8.5703125" style="1498" customWidth="1"/>
    <col min="1545" max="1545" width="13.7109375" style="1498" customWidth="1"/>
    <col min="1546" max="1546" width="11.5703125" style="1498" customWidth="1"/>
    <col min="1547" max="1547" width="24.7109375" style="1498" customWidth="1"/>
    <col min="1548" max="1548" width="17.42578125" style="1498" customWidth="1"/>
    <col min="1549" max="1549" width="20.85546875" style="1498" customWidth="1"/>
    <col min="1550" max="1550" width="26.85546875" style="1498" customWidth="1"/>
    <col min="1551" max="1551" width="8" style="1498" customWidth="1"/>
    <col min="1552" max="1552" width="25" style="1498" customWidth="1"/>
    <col min="1553" max="1553" width="12.7109375" style="1498" customWidth="1"/>
    <col min="1554" max="1554" width="16.42578125" style="1498" customWidth="1"/>
    <col min="1555" max="1555" width="23.5703125" style="1498" customWidth="1"/>
    <col min="1556" max="1556" width="33.7109375" style="1498" customWidth="1"/>
    <col min="1557" max="1557" width="31.140625" style="1498" customWidth="1"/>
    <col min="1558" max="1558" width="19.28515625" style="1498" customWidth="1"/>
    <col min="1559" max="1559" width="11.7109375" style="1498" customWidth="1"/>
    <col min="1560" max="1560" width="15.42578125" style="1498" customWidth="1"/>
    <col min="1561" max="1561" width="5.5703125" style="1498" customWidth="1"/>
    <col min="1562" max="1562" width="4.7109375" style="1498" customWidth="1"/>
    <col min="1563" max="1564" width="7.28515625" style="1498" customWidth="1"/>
    <col min="1565" max="1565" width="8.42578125" style="1498" customWidth="1"/>
    <col min="1566" max="1566" width="9.5703125" style="1498" customWidth="1"/>
    <col min="1567" max="1567" width="6.28515625" style="1498" customWidth="1"/>
    <col min="1568" max="1568" width="5.85546875" style="1498" customWidth="1"/>
    <col min="1569" max="1570" width="4.42578125" style="1498" customWidth="1"/>
    <col min="1571" max="1571" width="5" style="1498" customWidth="1"/>
    <col min="1572" max="1572" width="5.85546875" style="1498" customWidth="1"/>
    <col min="1573" max="1573" width="6.140625" style="1498" customWidth="1"/>
    <col min="1574" max="1574" width="6.28515625" style="1498" customWidth="1"/>
    <col min="1575" max="1575" width="4.85546875" style="1498" customWidth="1"/>
    <col min="1576" max="1576" width="8.140625" style="1498" customWidth="1"/>
    <col min="1577" max="1577" width="11.5703125" style="1498" customWidth="1"/>
    <col min="1578" max="1578" width="13.7109375" style="1498" customWidth="1"/>
    <col min="1579" max="1579" width="20.85546875" style="1498" customWidth="1"/>
    <col min="1580" max="1792" width="11.42578125" style="1498"/>
    <col min="1793" max="1793" width="13.140625" style="1498" customWidth="1"/>
    <col min="1794" max="1794" width="4" style="1498" customWidth="1"/>
    <col min="1795" max="1795" width="12.85546875" style="1498" customWidth="1"/>
    <col min="1796" max="1796" width="14.7109375" style="1498" customWidth="1"/>
    <col min="1797" max="1797" width="10" style="1498" customWidth="1"/>
    <col min="1798" max="1798" width="6.28515625" style="1498" customWidth="1"/>
    <col min="1799" max="1799" width="12.28515625" style="1498" customWidth="1"/>
    <col min="1800" max="1800" width="8.5703125" style="1498" customWidth="1"/>
    <col min="1801" max="1801" width="13.7109375" style="1498" customWidth="1"/>
    <col min="1802" max="1802" width="11.5703125" style="1498" customWidth="1"/>
    <col min="1803" max="1803" width="24.7109375" style="1498" customWidth="1"/>
    <col min="1804" max="1804" width="17.42578125" style="1498" customWidth="1"/>
    <col min="1805" max="1805" width="20.85546875" style="1498" customWidth="1"/>
    <col min="1806" max="1806" width="26.85546875" style="1498" customWidth="1"/>
    <col min="1807" max="1807" width="8" style="1498" customWidth="1"/>
    <col min="1808" max="1808" width="25" style="1498" customWidth="1"/>
    <col min="1809" max="1809" width="12.7109375" style="1498" customWidth="1"/>
    <col min="1810" max="1810" width="16.42578125" style="1498" customWidth="1"/>
    <col min="1811" max="1811" width="23.5703125" style="1498" customWidth="1"/>
    <col min="1812" max="1812" width="33.7109375" style="1498" customWidth="1"/>
    <col min="1813" max="1813" width="31.140625" style="1498" customWidth="1"/>
    <col min="1814" max="1814" width="19.28515625" style="1498" customWidth="1"/>
    <col min="1815" max="1815" width="11.7109375" style="1498" customWidth="1"/>
    <col min="1816" max="1816" width="15.42578125" style="1498" customWidth="1"/>
    <col min="1817" max="1817" width="5.5703125" style="1498" customWidth="1"/>
    <col min="1818" max="1818" width="4.7109375" style="1498" customWidth="1"/>
    <col min="1819" max="1820" width="7.28515625" style="1498" customWidth="1"/>
    <col min="1821" max="1821" width="8.42578125" style="1498" customWidth="1"/>
    <col min="1822" max="1822" width="9.5703125" style="1498" customWidth="1"/>
    <col min="1823" max="1823" width="6.28515625" style="1498" customWidth="1"/>
    <col min="1824" max="1824" width="5.85546875" style="1498" customWidth="1"/>
    <col min="1825" max="1826" width="4.42578125" style="1498" customWidth="1"/>
    <col min="1827" max="1827" width="5" style="1498" customWidth="1"/>
    <col min="1828" max="1828" width="5.85546875" style="1498" customWidth="1"/>
    <col min="1829" max="1829" width="6.140625" style="1498" customWidth="1"/>
    <col min="1830" max="1830" width="6.28515625" style="1498" customWidth="1"/>
    <col min="1831" max="1831" width="4.85546875" style="1498" customWidth="1"/>
    <col min="1832" max="1832" width="8.140625" style="1498" customWidth="1"/>
    <col min="1833" max="1833" width="11.5703125" style="1498" customWidth="1"/>
    <col min="1834" max="1834" width="13.7109375" style="1498" customWidth="1"/>
    <col min="1835" max="1835" width="20.85546875" style="1498" customWidth="1"/>
    <col min="1836" max="2048" width="11.42578125" style="1498"/>
    <col min="2049" max="2049" width="13.140625" style="1498" customWidth="1"/>
    <col min="2050" max="2050" width="4" style="1498" customWidth="1"/>
    <col min="2051" max="2051" width="12.85546875" style="1498" customWidth="1"/>
    <col min="2052" max="2052" width="14.7109375" style="1498" customWidth="1"/>
    <col min="2053" max="2053" width="10" style="1498" customWidth="1"/>
    <col min="2054" max="2054" width="6.28515625" style="1498" customWidth="1"/>
    <col min="2055" max="2055" width="12.28515625" style="1498" customWidth="1"/>
    <col min="2056" max="2056" width="8.5703125" style="1498" customWidth="1"/>
    <col min="2057" max="2057" width="13.7109375" style="1498" customWidth="1"/>
    <col min="2058" max="2058" width="11.5703125" style="1498" customWidth="1"/>
    <col min="2059" max="2059" width="24.7109375" style="1498" customWidth="1"/>
    <col min="2060" max="2060" width="17.42578125" style="1498" customWidth="1"/>
    <col min="2061" max="2061" width="20.85546875" style="1498" customWidth="1"/>
    <col min="2062" max="2062" width="26.85546875" style="1498" customWidth="1"/>
    <col min="2063" max="2063" width="8" style="1498" customWidth="1"/>
    <col min="2064" max="2064" width="25" style="1498" customWidth="1"/>
    <col min="2065" max="2065" width="12.7109375" style="1498" customWidth="1"/>
    <col min="2066" max="2066" width="16.42578125" style="1498" customWidth="1"/>
    <col min="2067" max="2067" width="23.5703125" style="1498" customWidth="1"/>
    <col min="2068" max="2068" width="33.7109375" style="1498" customWidth="1"/>
    <col min="2069" max="2069" width="31.140625" style="1498" customWidth="1"/>
    <col min="2070" max="2070" width="19.28515625" style="1498" customWidth="1"/>
    <col min="2071" max="2071" width="11.7109375" style="1498" customWidth="1"/>
    <col min="2072" max="2072" width="15.42578125" style="1498" customWidth="1"/>
    <col min="2073" max="2073" width="5.5703125" style="1498" customWidth="1"/>
    <col min="2074" max="2074" width="4.7109375" style="1498" customWidth="1"/>
    <col min="2075" max="2076" width="7.28515625" style="1498" customWidth="1"/>
    <col min="2077" max="2077" width="8.42578125" style="1498" customWidth="1"/>
    <col min="2078" max="2078" width="9.5703125" style="1498" customWidth="1"/>
    <col min="2079" max="2079" width="6.28515625" style="1498" customWidth="1"/>
    <col min="2080" max="2080" width="5.85546875" style="1498" customWidth="1"/>
    <col min="2081" max="2082" width="4.42578125" style="1498" customWidth="1"/>
    <col min="2083" max="2083" width="5" style="1498" customWidth="1"/>
    <col min="2084" max="2084" width="5.85546875" style="1498" customWidth="1"/>
    <col min="2085" max="2085" width="6.140625" style="1498" customWidth="1"/>
    <col min="2086" max="2086" width="6.28515625" style="1498" customWidth="1"/>
    <col min="2087" max="2087" width="4.85546875" style="1498" customWidth="1"/>
    <col min="2088" max="2088" width="8.140625" style="1498" customWidth="1"/>
    <col min="2089" max="2089" width="11.5703125" style="1498" customWidth="1"/>
    <col min="2090" max="2090" width="13.7109375" style="1498" customWidth="1"/>
    <col min="2091" max="2091" width="20.85546875" style="1498" customWidth="1"/>
    <col min="2092" max="2304" width="11.42578125" style="1498"/>
    <col min="2305" max="2305" width="13.140625" style="1498" customWidth="1"/>
    <col min="2306" max="2306" width="4" style="1498" customWidth="1"/>
    <col min="2307" max="2307" width="12.85546875" style="1498" customWidth="1"/>
    <col min="2308" max="2308" width="14.7109375" style="1498" customWidth="1"/>
    <col min="2309" max="2309" width="10" style="1498" customWidth="1"/>
    <col min="2310" max="2310" width="6.28515625" style="1498" customWidth="1"/>
    <col min="2311" max="2311" width="12.28515625" style="1498" customWidth="1"/>
    <col min="2312" max="2312" width="8.5703125" style="1498" customWidth="1"/>
    <col min="2313" max="2313" width="13.7109375" style="1498" customWidth="1"/>
    <col min="2314" max="2314" width="11.5703125" style="1498" customWidth="1"/>
    <col min="2315" max="2315" width="24.7109375" style="1498" customWidth="1"/>
    <col min="2316" max="2316" width="17.42578125" style="1498" customWidth="1"/>
    <col min="2317" max="2317" width="20.85546875" style="1498" customWidth="1"/>
    <col min="2318" max="2318" width="26.85546875" style="1498" customWidth="1"/>
    <col min="2319" max="2319" width="8" style="1498" customWidth="1"/>
    <col min="2320" max="2320" width="25" style="1498" customWidth="1"/>
    <col min="2321" max="2321" width="12.7109375" style="1498" customWidth="1"/>
    <col min="2322" max="2322" width="16.42578125" style="1498" customWidth="1"/>
    <col min="2323" max="2323" width="23.5703125" style="1498" customWidth="1"/>
    <col min="2324" max="2324" width="33.7109375" style="1498" customWidth="1"/>
    <col min="2325" max="2325" width="31.140625" style="1498" customWidth="1"/>
    <col min="2326" max="2326" width="19.28515625" style="1498" customWidth="1"/>
    <col min="2327" max="2327" width="11.7109375" style="1498" customWidth="1"/>
    <col min="2328" max="2328" width="15.42578125" style="1498" customWidth="1"/>
    <col min="2329" max="2329" width="5.5703125" style="1498" customWidth="1"/>
    <col min="2330" max="2330" width="4.7109375" style="1498" customWidth="1"/>
    <col min="2331" max="2332" width="7.28515625" style="1498" customWidth="1"/>
    <col min="2333" max="2333" width="8.42578125" style="1498" customWidth="1"/>
    <col min="2334" max="2334" width="9.5703125" style="1498" customWidth="1"/>
    <col min="2335" max="2335" width="6.28515625" style="1498" customWidth="1"/>
    <col min="2336" max="2336" width="5.85546875" style="1498" customWidth="1"/>
    <col min="2337" max="2338" width="4.42578125" style="1498" customWidth="1"/>
    <col min="2339" max="2339" width="5" style="1498" customWidth="1"/>
    <col min="2340" max="2340" width="5.85546875" style="1498" customWidth="1"/>
    <col min="2341" max="2341" width="6.140625" style="1498" customWidth="1"/>
    <col min="2342" max="2342" width="6.28515625" style="1498" customWidth="1"/>
    <col min="2343" max="2343" width="4.85546875" style="1498" customWidth="1"/>
    <col min="2344" max="2344" width="8.140625" style="1498" customWidth="1"/>
    <col min="2345" max="2345" width="11.5703125" style="1498" customWidth="1"/>
    <col min="2346" max="2346" width="13.7109375" style="1498" customWidth="1"/>
    <col min="2347" max="2347" width="20.85546875" style="1498" customWidth="1"/>
    <col min="2348" max="2560" width="11.42578125" style="1498"/>
    <col min="2561" max="2561" width="13.140625" style="1498" customWidth="1"/>
    <col min="2562" max="2562" width="4" style="1498" customWidth="1"/>
    <col min="2563" max="2563" width="12.85546875" style="1498" customWidth="1"/>
    <col min="2564" max="2564" width="14.7109375" style="1498" customWidth="1"/>
    <col min="2565" max="2565" width="10" style="1498" customWidth="1"/>
    <col min="2566" max="2566" width="6.28515625" style="1498" customWidth="1"/>
    <col min="2567" max="2567" width="12.28515625" style="1498" customWidth="1"/>
    <col min="2568" max="2568" width="8.5703125" style="1498" customWidth="1"/>
    <col min="2569" max="2569" width="13.7109375" style="1498" customWidth="1"/>
    <col min="2570" max="2570" width="11.5703125" style="1498" customWidth="1"/>
    <col min="2571" max="2571" width="24.7109375" style="1498" customWidth="1"/>
    <col min="2572" max="2572" width="17.42578125" style="1498" customWidth="1"/>
    <col min="2573" max="2573" width="20.85546875" style="1498" customWidth="1"/>
    <col min="2574" max="2574" width="26.85546875" style="1498" customWidth="1"/>
    <col min="2575" max="2575" width="8" style="1498" customWidth="1"/>
    <col min="2576" max="2576" width="25" style="1498" customWidth="1"/>
    <col min="2577" max="2577" width="12.7109375" style="1498" customWidth="1"/>
    <col min="2578" max="2578" width="16.42578125" style="1498" customWidth="1"/>
    <col min="2579" max="2579" width="23.5703125" style="1498" customWidth="1"/>
    <col min="2580" max="2580" width="33.7109375" style="1498" customWidth="1"/>
    <col min="2581" max="2581" width="31.140625" style="1498" customWidth="1"/>
    <col min="2582" max="2582" width="19.28515625" style="1498" customWidth="1"/>
    <col min="2583" max="2583" width="11.7109375" style="1498" customWidth="1"/>
    <col min="2584" max="2584" width="15.42578125" style="1498" customWidth="1"/>
    <col min="2585" max="2585" width="5.5703125" style="1498" customWidth="1"/>
    <col min="2586" max="2586" width="4.7109375" style="1498" customWidth="1"/>
    <col min="2587" max="2588" width="7.28515625" style="1498" customWidth="1"/>
    <col min="2589" max="2589" width="8.42578125" style="1498" customWidth="1"/>
    <col min="2590" max="2590" width="9.5703125" style="1498" customWidth="1"/>
    <col min="2591" max="2591" width="6.28515625" style="1498" customWidth="1"/>
    <col min="2592" max="2592" width="5.85546875" style="1498" customWidth="1"/>
    <col min="2593" max="2594" width="4.42578125" style="1498" customWidth="1"/>
    <col min="2595" max="2595" width="5" style="1498" customWidth="1"/>
    <col min="2596" max="2596" width="5.85546875" style="1498" customWidth="1"/>
    <col min="2597" max="2597" width="6.140625" style="1498" customWidth="1"/>
    <col min="2598" max="2598" width="6.28515625" style="1498" customWidth="1"/>
    <col min="2599" max="2599" width="4.85546875" style="1498" customWidth="1"/>
    <col min="2600" max="2600" width="8.140625" style="1498" customWidth="1"/>
    <col min="2601" max="2601" width="11.5703125" style="1498" customWidth="1"/>
    <col min="2602" max="2602" width="13.7109375" style="1498" customWidth="1"/>
    <col min="2603" max="2603" width="20.85546875" style="1498" customWidth="1"/>
    <col min="2604" max="2816" width="11.42578125" style="1498"/>
    <col min="2817" max="2817" width="13.140625" style="1498" customWidth="1"/>
    <col min="2818" max="2818" width="4" style="1498" customWidth="1"/>
    <col min="2819" max="2819" width="12.85546875" style="1498" customWidth="1"/>
    <col min="2820" max="2820" width="14.7109375" style="1498" customWidth="1"/>
    <col min="2821" max="2821" width="10" style="1498" customWidth="1"/>
    <col min="2822" max="2822" width="6.28515625" style="1498" customWidth="1"/>
    <col min="2823" max="2823" width="12.28515625" style="1498" customWidth="1"/>
    <col min="2824" max="2824" width="8.5703125" style="1498" customWidth="1"/>
    <col min="2825" max="2825" width="13.7109375" style="1498" customWidth="1"/>
    <col min="2826" max="2826" width="11.5703125" style="1498" customWidth="1"/>
    <col min="2827" max="2827" width="24.7109375" style="1498" customWidth="1"/>
    <col min="2828" max="2828" width="17.42578125" style="1498" customWidth="1"/>
    <col min="2829" max="2829" width="20.85546875" style="1498" customWidth="1"/>
    <col min="2830" max="2830" width="26.85546875" style="1498" customWidth="1"/>
    <col min="2831" max="2831" width="8" style="1498" customWidth="1"/>
    <col min="2832" max="2832" width="25" style="1498" customWidth="1"/>
    <col min="2833" max="2833" width="12.7109375" style="1498" customWidth="1"/>
    <col min="2834" max="2834" width="16.42578125" style="1498" customWidth="1"/>
    <col min="2835" max="2835" width="23.5703125" style="1498" customWidth="1"/>
    <col min="2836" max="2836" width="33.7109375" style="1498" customWidth="1"/>
    <col min="2837" max="2837" width="31.140625" style="1498" customWidth="1"/>
    <col min="2838" max="2838" width="19.28515625" style="1498" customWidth="1"/>
    <col min="2839" max="2839" width="11.7109375" style="1498" customWidth="1"/>
    <col min="2840" max="2840" width="15.42578125" style="1498" customWidth="1"/>
    <col min="2841" max="2841" width="5.5703125" style="1498" customWidth="1"/>
    <col min="2842" max="2842" width="4.7109375" style="1498" customWidth="1"/>
    <col min="2843" max="2844" width="7.28515625" style="1498" customWidth="1"/>
    <col min="2845" max="2845" width="8.42578125" style="1498" customWidth="1"/>
    <col min="2846" max="2846" width="9.5703125" style="1498" customWidth="1"/>
    <col min="2847" max="2847" width="6.28515625" style="1498" customWidth="1"/>
    <col min="2848" max="2848" width="5.85546875" style="1498" customWidth="1"/>
    <col min="2849" max="2850" width="4.42578125" style="1498" customWidth="1"/>
    <col min="2851" max="2851" width="5" style="1498" customWidth="1"/>
    <col min="2852" max="2852" width="5.85546875" style="1498" customWidth="1"/>
    <col min="2853" max="2853" width="6.140625" style="1498" customWidth="1"/>
    <col min="2854" max="2854" width="6.28515625" style="1498" customWidth="1"/>
    <col min="2855" max="2855" width="4.85546875" style="1498" customWidth="1"/>
    <col min="2856" max="2856" width="8.140625" style="1498" customWidth="1"/>
    <col min="2857" max="2857" width="11.5703125" style="1498" customWidth="1"/>
    <col min="2858" max="2858" width="13.7109375" style="1498" customWidth="1"/>
    <col min="2859" max="2859" width="20.85546875" style="1498" customWidth="1"/>
    <col min="2860" max="3072" width="11.42578125" style="1498"/>
    <col min="3073" max="3073" width="13.140625" style="1498" customWidth="1"/>
    <col min="3074" max="3074" width="4" style="1498" customWidth="1"/>
    <col min="3075" max="3075" width="12.85546875" style="1498" customWidth="1"/>
    <col min="3076" max="3076" width="14.7109375" style="1498" customWidth="1"/>
    <col min="3077" max="3077" width="10" style="1498" customWidth="1"/>
    <col min="3078" max="3078" width="6.28515625" style="1498" customWidth="1"/>
    <col min="3079" max="3079" width="12.28515625" style="1498" customWidth="1"/>
    <col min="3080" max="3080" width="8.5703125" style="1498" customWidth="1"/>
    <col min="3081" max="3081" width="13.7109375" style="1498" customWidth="1"/>
    <col min="3082" max="3082" width="11.5703125" style="1498" customWidth="1"/>
    <col min="3083" max="3083" width="24.7109375" style="1498" customWidth="1"/>
    <col min="3084" max="3084" width="17.42578125" style="1498" customWidth="1"/>
    <col min="3085" max="3085" width="20.85546875" style="1498" customWidth="1"/>
    <col min="3086" max="3086" width="26.85546875" style="1498" customWidth="1"/>
    <col min="3087" max="3087" width="8" style="1498" customWidth="1"/>
    <col min="3088" max="3088" width="25" style="1498" customWidth="1"/>
    <col min="3089" max="3089" width="12.7109375" style="1498" customWidth="1"/>
    <col min="3090" max="3090" width="16.42578125" style="1498" customWidth="1"/>
    <col min="3091" max="3091" width="23.5703125" style="1498" customWidth="1"/>
    <col min="3092" max="3092" width="33.7109375" style="1498" customWidth="1"/>
    <col min="3093" max="3093" width="31.140625" style="1498" customWidth="1"/>
    <col min="3094" max="3094" width="19.28515625" style="1498" customWidth="1"/>
    <col min="3095" max="3095" width="11.7109375" style="1498" customWidth="1"/>
    <col min="3096" max="3096" width="15.42578125" style="1498" customWidth="1"/>
    <col min="3097" max="3097" width="5.5703125" style="1498" customWidth="1"/>
    <col min="3098" max="3098" width="4.7109375" style="1498" customWidth="1"/>
    <col min="3099" max="3100" width="7.28515625" style="1498" customWidth="1"/>
    <col min="3101" max="3101" width="8.42578125" style="1498" customWidth="1"/>
    <col min="3102" max="3102" width="9.5703125" style="1498" customWidth="1"/>
    <col min="3103" max="3103" width="6.28515625" style="1498" customWidth="1"/>
    <col min="3104" max="3104" width="5.85546875" style="1498" customWidth="1"/>
    <col min="3105" max="3106" width="4.42578125" style="1498" customWidth="1"/>
    <col min="3107" max="3107" width="5" style="1498" customWidth="1"/>
    <col min="3108" max="3108" width="5.85546875" style="1498" customWidth="1"/>
    <col min="3109" max="3109" width="6.140625" style="1498" customWidth="1"/>
    <col min="3110" max="3110" width="6.28515625" style="1498" customWidth="1"/>
    <col min="3111" max="3111" width="4.85546875" style="1498" customWidth="1"/>
    <col min="3112" max="3112" width="8.140625" style="1498" customWidth="1"/>
    <col min="3113" max="3113" width="11.5703125" style="1498" customWidth="1"/>
    <col min="3114" max="3114" width="13.7109375" style="1498" customWidth="1"/>
    <col min="3115" max="3115" width="20.85546875" style="1498" customWidth="1"/>
    <col min="3116" max="3328" width="11.42578125" style="1498"/>
    <col min="3329" max="3329" width="13.140625" style="1498" customWidth="1"/>
    <col min="3330" max="3330" width="4" style="1498" customWidth="1"/>
    <col min="3331" max="3331" width="12.85546875" style="1498" customWidth="1"/>
    <col min="3332" max="3332" width="14.7109375" style="1498" customWidth="1"/>
    <col min="3333" max="3333" width="10" style="1498" customWidth="1"/>
    <col min="3334" max="3334" width="6.28515625" style="1498" customWidth="1"/>
    <col min="3335" max="3335" width="12.28515625" style="1498" customWidth="1"/>
    <col min="3336" max="3336" width="8.5703125" style="1498" customWidth="1"/>
    <col min="3337" max="3337" width="13.7109375" style="1498" customWidth="1"/>
    <col min="3338" max="3338" width="11.5703125" style="1498" customWidth="1"/>
    <col min="3339" max="3339" width="24.7109375" style="1498" customWidth="1"/>
    <col min="3340" max="3340" width="17.42578125" style="1498" customWidth="1"/>
    <col min="3341" max="3341" width="20.85546875" style="1498" customWidth="1"/>
    <col min="3342" max="3342" width="26.85546875" style="1498" customWidth="1"/>
    <col min="3343" max="3343" width="8" style="1498" customWidth="1"/>
    <col min="3344" max="3344" width="25" style="1498" customWidth="1"/>
    <col min="3345" max="3345" width="12.7109375" style="1498" customWidth="1"/>
    <col min="3346" max="3346" width="16.42578125" style="1498" customWidth="1"/>
    <col min="3347" max="3347" width="23.5703125" style="1498" customWidth="1"/>
    <col min="3348" max="3348" width="33.7109375" style="1498" customWidth="1"/>
    <col min="3349" max="3349" width="31.140625" style="1498" customWidth="1"/>
    <col min="3350" max="3350" width="19.28515625" style="1498" customWidth="1"/>
    <col min="3351" max="3351" width="11.7109375" style="1498" customWidth="1"/>
    <col min="3352" max="3352" width="15.42578125" style="1498" customWidth="1"/>
    <col min="3353" max="3353" width="5.5703125" style="1498" customWidth="1"/>
    <col min="3354" max="3354" width="4.7109375" style="1498" customWidth="1"/>
    <col min="3355" max="3356" width="7.28515625" style="1498" customWidth="1"/>
    <col min="3357" max="3357" width="8.42578125" style="1498" customWidth="1"/>
    <col min="3358" max="3358" width="9.5703125" style="1498" customWidth="1"/>
    <col min="3359" max="3359" width="6.28515625" style="1498" customWidth="1"/>
    <col min="3360" max="3360" width="5.85546875" style="1498" customWidth="1"/>
    <col min="3361" max="3362" width="4.42578125" style="1498" customWidth="1"/>
    <col min="3363" max="3363" width="5" style="1498" customWidth="1"/>
    <col min="3364" max="3364" width="5.85546875" style="1498" customWidth="1"/>
    <col min="3365" max="3365" width="6.140625" style="1498" customWidth="1"/>
    <col min="3366" max="3366" width="6.28515625" style="1498" customWidth="1"/>
    <col min="3367" max="3367" width="4.85546875" style="1498" customWidth="1"/>
    <col min="3368" max="3368" width="8.140625" style="1498" customWidth="1"/>
    <col min="3369" max="3369" width="11.5703125" style="1498" customWidth="1"/>
    <col min="3370" max="3370" width="13.7109375" style="1498" customWidth="1"/>
    <col min="3371" max="3371" width="20.85546875" style="1498" customWidth="1"/>
    <col min="3372" max="3584" width="11.42578125" style="1498"/>
    <col min="3585" max="3585" width="13.140625" style="1498" customWidth="1"/>
    <col min="3586" max="3586" width="4" style="1498" customWidth="1"/>
    <col min="3587" max="3587" width="12.85546875" style="1498" customWidth="1"/>
    <col min="3588" max="3588" width="14.7109375" style="1498" customWidth="1"/>
    <col min="3589" max="3589" width="10" style="1498" customWidth="1"/>
    <col min="3590" max="3590" width="6.28515625" style="1498" customWidth="1"/>
    <col min="3591" max="3591" width="12.28515625" style="1498" customWidth="1"/>
    <col min="3592" max="3592" width="8.5703125" style="1498" customWidth="1"/>
    <col min="3593" max="3593" width="13.7109375" style="1498" customWidth="1"/>
    <col min="3594" max="3594" width="11.5703125" style="1498" customWidth="1"/>
    <col min="3595" max="3595" width="24.7109375" style="1498" customWidth="1"/>
    <col min="3596" max="3596" width="17.42578125" style="1498" customWidth="1"/>
    <col min="3597" max="3597" width="20.85546875" style="1498" customWidth="1"/>
    <col min="3598" max="3598" width="26.85546875" style="1498" customWidth="1"/>
    <col min="3599" max="3599" width="8" style="1498" customWidth="1"/>
    <col min="3600" max="3600" width="25" style="1498" customWidth="1"/>
    <col min="3601" max="3601" width="12.7109375" style="1498" customWidth="1"/>
    <col min="3602" max="3602" width="16.42578125" style="1498" customWidth="1"/>
    <col min="3603" max="3603" width="23.5703125" style="1498" customWidth="1"/>
    <col min="3604" max="3604" width="33.7109375" style="1498" customWidth="1"/>
    <col min="3605" max="3605" width="31.140625" style="1498" customWidth="1"/>
    <col min="3606" max="3606" width="19.28515625" style="1498" customWidth="1"/>
    <col min="3607" max="3607" width="11.7109375" style="1498" customWidth="1"/>
    <col min="3608" max="3608" width="15.42578125" style="1498" customWidth="1"/>
    <col min="3609" max="3609" width="5.5703125" style="1498" customWidth="1"/>
    <col min="3610" max="3610" width="4.7109375" style="1498" customWidth="1"/>
    <col min="3611" max="3612" width="7.28515625" style="1498" customWidth="1"/>
    <col min="3613" max="3613" width="8.42578125" style="1498" customWidth="1"/>
    <col min="3614" max="3614" width="9.5703125" style="1498" customWidth="1"/>
    <col min="3615" max="3615" width="6.28515625" style="1498" customWidth="1"/>
    <col min="3616" max="3616" width="5.85546875" style="1498" customWidth="1"/>
    <col min="3617" max="3618" width="4.42578125" style="1498" customWidth="1"/>
    <col min="3619" max="3619" width="5" style="1498" customWidth="1"/>
    <col min="3620" max="3620" width="5.85546875" style="1498" customWidth="1"/>
    <col min="3621" max="3621" width="6.140625" style="1498" customWidth="1"/>
    <col min="3622" max="3622" width="6.28515625" style="1498" customWidth="1"/>
    <col min="3623" max="3623" width="4.85546875" style="1498" customWidth="1"/>
    <col min="3624" max="3624" width="8.140625" style="1498" customWidth="1"/>
    <col min="3625" max="3625" width="11.5703125" style="1498" customWidth="1"/>
    <col min="3626" max="3626" width="13.7109375" style="1498" customWidth="1"/>
    <col min="3627" max="3627" width="20.85546875" style="1498" customWidth="1"/>
    <col min="3628" max="3840" width="11.42578125" style="1498"/>
    <col min="3841" max="3841" width="13.140625" style="1498" customWidth="1"/>
    <col min="3842" max="3842" width="4" style="1498" customWidth="1"/>
    <col min="3843" max="3843" width="12.85546875" style="1498" customWidth="1"/>
    <col min="3844" max="3844" width="14.7109375" style="1498" customWidth="1"/>
    <col min="3845" max="3845" width="10" style="1498" customWidth="1"/>
    <col min="3846" max="3846" width="6.28515625" style="1498" customWidth="1"/>
    <col min="3847" max="3847" width="12.28515625" style="1498" customWidth="1"/>
    <col min="3848" max="3848" width="8.5703125" style="1498" customWidth="1"/>
    <col min="3849" max="3849" width="13.7109375" style="1498" customWidth="1"/>
    <col min="3850" max="3850" width="11.5703125" style="1498" customWidth="1"/>
    <col min="3851" max="3851" width="24.7109375" style="1498" customWidth="1"/>
    <col min="3852" max="3852" width="17.42578125" style="1498" customWidth="1"/>
    <col min="3853" max="3853" width="20.85546875" style="1498" customWidth="1"/>
    <col min="3854" max="3854" width="26.85546875" style="1498" customWidth="1"/>
    <col min="3855" max="3855" width="8" style="1498" customWidth="1"/>
    <col min="3856" max="3856" width="25" style="1498" customWidth="1"/>
    <col min="3857" max="3857" width="12.7109375" style="1498" customWidth="1"/>
    <col min="3858" max="3858" width="16.42578125" style="1498" customWidth="1"/>
    <col min="3859" max="3859" width="23.5703125" style="1498" customWidth="1"/>
    <col min="3860" max="3860" width="33.7109375" style="1498" customWidth="1"/>
    <col min="3861" max="3861" width="31.140625" style="1498" customWidth="1"/>
    <col min="3862" max="3862" width="19.28515625" style="1498" customWidth="1"/>
    <col min="3863" max="3863" width="11.7109375" style="1498" customWidth="1"/>
    <col min="3864" max="3864" width="15.42578125" style="1498" customWidth="1"/>
    <col min="3865" max="3865" width="5.5703125" style="1498" customWidth="1"/>
    <col min="3866" max="3866" width="4.7109375" style="1498" customWidth="1"/>
    <col min="3867" max="3868" width="7.28515625" style="1498" customWidth="1"/>
    <col min="3869" max="3869" width="8.42578125" style="1498" customWidth="1"/>
    <col min="3870" max="3870" width="9.5703125" style="1498" customWidth="1"/>
    <col min="3871" max="3871" width="6.28515625" style="1498" customWidth="1"/>
    <col min="3872" max="3872" width="5.85546875" style="1498" customWidth="1"/>
    <col min="3873" max="3874" width="4.42578125" style="1498" customWidth="1"/>
    <col min="3875" max="3875" width="5" style="1498" customWidth="1"/>
    <col min="3876" max="3876" width="5.85546875" style="1498" customWidth="1"/>
    <col min="3877" max="3877" width="6.140625" style="1498" customWidth="1"/>
    <col min="3878" max="3878" width="6.28515625" style="1498" customWidth="1"/>
    <col min="3879" max="3879" width="4.85546875" style="1498" customWidth="1"/>
    <col min="3880" max="3880" width="8.140625" style="1498" customWidth="1"/>
    <col min="3881" max="3881" width="11.5703125" style="1498" customWidth="1"/>
    <col min="3882" max="3882" width="13.7109375" style="1498" customWidth="1"/>
    <col min="3883" max="3883" width="20.85546875" style="1498" customWidth="1"/>
    <col min="3884" max="4096" width="11.42578125" style="1498"/>
    <col min="4097" max="4097" width="13.140625" style="1498" customWidth="1"/>
    <col min="4098" max="4098" width="4" style="1498" customWidth="1"/>
    <col min="4099" max="4099" width="12.85546875" style="1498" customWidth="1"/>
    <col min="4100" max="4100" width="14.7109375" style="1498" customWidth="1"/>
    <col min="4101" max="4101" width="10" style="1498" customWidth="1"/>
    <col min="4102" max="4102" width="6.28515625" style="1498" customWidth="1"/>
    <col min="4103" max="4103" width="12.28515625" style="1498" customWidth="1"/>
    <col min="4104" max="4104" width="8.5703125" style="1498" customWidth="1"/>
    <col min="4105" max="4105" width="13.7109375" style="1498" customWidth="1"/>
    <col min="4106" max="4106" width="11.5703125" style="1498" customWidth="1"/>
    <col min="4107" max="4107" width="24.7109375" style="1498" customWidth="1"/>
    <col min="4108" max="4108" width="17.42578125" style="1498" customWidth="1"/>
    <col min="4109" max="4109" width="20.85546875" style="1498" customWidth="1"/>
    <col min="4110" max="4110" width="26.85546875" style="1498" customWidth="1"/>
    <col min="4111" max="4111" width="8" style="1498" customWidth="1"/>
    <col min="4112" max="4112" width="25" style="1498" customWidth="1"/>
    <col min="4113" max="4113" width="12.7109375" style="1498" customWidth="1"/>
    <col min="4114" max="4114" width="16.42578125" style="1498" customWidth="1"/>
    <col min="4115" max="4115" width="23.5703125" style="1498" customWidth="1"/>
    <col min="4116" max="4116" width="33.7109375" style="1498" customWidth="1"/>
    <col min="4117" max="4117" width="31.140625" style="1498" customWidth="1"/>
    <col min="4118" max="4118" width="19.28515625" style="1498" customWidth="1"/>
    <col min="4119" max="4119" width="11.7109375" style="1498" customWidth="1"/>
    <col min="4120" max="4120" width="15.42578125" style="1498" customWidth="1"/>
    <col min="4121" max="4121" width="5.5703125" style="1498" customWidth="1"/>
    <col min="4122" max="4122" width="4.7109375" style="1498" customWidth="1"/>
    <col min="4123" max="4124" width="7.28515625" style="1498" customWidth="1"/>
    <col min="4125" max="4125" width="8.42578125" style="1498" customWidth="1"/>
    <col min="4126" max="4126" width="9.5703125" style="1498" customWidth="1"/>
    <col min="4127" max="4127" width="6.28515625" style="1498" customWidth="1"/>
    <col min="4128" max="4128" width="5.85546875" style="1498" customWidth="1"/>
    <col min="4129" max="4130" width="4.42578125" style="1498" customWidth="1"/>
    <col min="4131" max="4131" width="5" style="1498" customWidth="1"/>
    <col min="4132" max="4132" width="5.85546875" style="1498" customWidth="1"/>
    <col min="4133" max="4133" width="6.140625" style="1498" customWidth="1"/>
    <col min="4134" max="4134" width="6.28515625" style="1498" customWidth="1"/>
    <col min="4135" max="4135" width="4.85546875" style="1498" customWidth="1"/>
    <col min="4136" max="4136" width="8.140625" style="1498" customWidth="1"/>
    <col min="4137" max="4137" width="11.5703125" style="1498" customWidth="1"/>
    <col min="4138" max="4138" width="13.7109375" style="1498" customWidth="1"/>
    <col min="4139" max="4139" width="20.85546875" style="1498" customWidth="1"/>
    <col min="4140" max="4352" width="11.42578125" style="1498"/>
    <col min="4353" max="4353" width="13.140625" style="1498" customWidth="1"/>
    <col min="4354" max="4354" width="4" style="1498" customWidth="1"/>
    <col min="4355" max="4355" width="12.85546875" style="1498" customWidth="1"/>
    <col min="4356" max="4356" width="14.7109375" style="1498" customWidth="1"/>
    <col min="4357" max="4357" width="10" style="1498" customWidth="1"/>
    <col min="4358" max="4358" width="6.28515625" style="1498" customWidth="1"/>
    <col min="4359" max="4359" width="12.28515625" style="1498" customWidth="1"/>
    <col min="4360" max="4360" width="8.5703125" style="1498" customWidth="1"/>
    <col min="4361" max="4361" width="13.7109375" style="1498" customWidth="1"/>
    <col min="4362" max="4362" width="11.5703125" style="1498" customWidth="1"/>
    <col min="4363" max="4363" width="24.7109375" style="1498" customWidth="1"/>
    <col min="4364" max="4364" width="17.42578125" style="1498" customWidth="1"/>
    <col min="4365" max="4365" width="20.85546875" style="1498" customWidth="1"/>
    <col min="4366" max="4366" width="26.85546875" style="1498" customWidth="1"/>
    <col min="4367" max="4367" width="8" style="1498" customWidth="1"/>
    <col min="4368" max="4368" width="25" style="1498" customWidth="1"/>
    <col min="4369" max="4369" width="12.7109375" style="1498" customWidth="1"/>
    <col min="4370" max="4370" width="16.42578125" style="1498" customWidth="1"/>
    <col min="4371" max="4371" width="23.5703125" style="1498" customWidth="1"/>
    <col min="4372" max="4372" width="33.7109375" style="1498" customWidth="1"/>
    <col min="4373" max="4373" width="31.140625" style="1498" customWidth="1"/>
    <col min="4374" max="4374" width="19.28515625" style="1498" customWidth="1"/>
    <col min="4375" max="4375" width="11.7109375" style="1498" customWidth="1"/>
    <col min="4376" max="4376" width="15.42578125" style="1498" customWidth="1"/>
    <col min="4377" max="4377" width="5.5703125" style="1498" customWidth="1"/>
    <col min="4378" max="4378" width="4.7109375" style="1498" customWidth="1"/>
    <col min="4379" max="4380" width="7.28515625" style="1498" customWidth="1"/>
    <col min="4381" max="4381" width="8.42578125" style="1498" customWidth="1"/>
    <col min="4382" max="4382" width="9.5703125" style="1498" customWidth="1"/>
    <col min="4383" max="4383" width="6.28515625" style="1498" customWidth="1"/>
    <col min="4384" max="4384" width="5.85546875" style="1498" customWidth="1"/>
    <col min="4385" max="4386" width="4.42578125" style="1498" customWidth="1"/>
    <col min="4387" max="4387" width="5" style="1498" customWidth="1"/>
    <col min="4388" max="4388" width="5.85546875" style="1498" customWidth="1"/>
    <col min="4389" max="4389" width="6.140625" style="1498" customWidth="1"/>
    <col min="4390" max="4390" width="6.28515625" style="1498" customWidth="1"/>
    <col min="4391" max="4391" width="4.85546875" style="1498" customWidth="1"/>
    <col min="4392" max="4392" width="8.140625" style="1498" customWidth="1"/>
    <col min="4393" max="4393" width="11.5703125" style="1498" customWidth="1"/>
    <col min="4394" max="4394" width="13.7109375" style="1498" customWidth="1"/>
    <col min="4395" max="4395" width="20.85546875" style="1498" customWidth="1"/>
    <col min="4396" max="4608" width="11.42578125" style="1498"/>
    <col min="4609" max="4609" width="13.140625" style="1498" customWidth="1"/>
    <col min="4610" max="4610" width="4" style="1498" customWidth="1"/>
    <col min="4611" max="4611" width="12.85546875" style="1498" customWidth="1"/>
    <col min="4612" max="4612" width="14.7109375" style="1498" customWidth="1"/>
    <col min="4613" max="4613" width="10" style="1498" customWidth="1"/>
    <col min="4614" max="4614" width="6.28515625" style="1498" customWidth="1"/>
    <col min="4615" max="4615" width="12.28515625" style="1498" customWidth="1"/>
    <col min="4616" max="4616" width="8.5703125" style="1498" customWidth="1"/>
    <col min="4617" max="4617" width="13.7109375" style="1498" customWidth="1"/>
    <col min="4618" max="4618" width="11.5703125" style="1498" customWidth="1"/>
    <col min="4619" max="4619" width="24.7109375" style="1498" customWidth="1"/>
    <col min="4620" max="4620" width="17.42578125" style="1498" customWidth="1"/>
    <col min="4621" max="4621" width="20.85546875" style="1498" customWidth="1"/>
    <col min="4622" max="4622" width="26.85546875" style="1498" customWidth="1"/>
    <col min="4623" max="4623" width="8" style="1498" customWidth="1"/>
    <col min="4624" max="4624" width="25" style="1498" customWidth="1"/>
    <col min="4625" max="4625" width="12.7109375" style="1498" customWidth="1"/>
    <col min="4626" max="4626" width="16.42578125" style="1498" customWidth="1"/>
    <col min="4627" max="4627" width="23.5703125" style="1498" customWidth="1"/>
    <col min="4628" max="4628" width="33.7109375" style="1498" customWidth="1"/>
    <col min="4629" max="4629" width="31.140625" style="1498" customWidth="1"/>
    <col min="4630" max="4630" width="19.28515625" style="1498" customWidth="1"/>
    <col min="4631" max="4631" width="11.7109375" style="1498" customWidth="1"/>
    <col min="4632" max="4632" width="15.42578125" style="1498" customWidth="1"/>
    <col min="4633" max="4633" width="5.5703125" style="1498" customWidth="1"/>
    <col min="4634" max="4634" width="4.7109375" style="1498" customWidth="1"/>
    <col min="4635" max="4636" width="7.28515625" style="1498" customWidth="1"/>
    <col min="4637" max="4637" width="8.42578125" style="1498" customWidth="1"/>
    <col min="4638" max="4638" width="9.5703125" style="1498" customWidth="1"/>
    <col min="4639" max="4639" width="6.28515625" style="1498" customWidth="1"/>
    <col min="4640" max="4640" width="5.85546875" style="1498" customWidth="1"/>
    <col min="4641" max="4642" width="4.42578125" style="1498" customWidth="1"/>
    <col min="4643" max="4643" width="5" style="1498" customWidth="1"/>
    <col min="4644" max="4644" width="5.85546875" style="1498" customWidth="1"/>
    <col min="4645" max="4645" width="6.140625" style="1498" customWidth="1"/>
    <col min="4646" max="4646" width="6.28515625" style="1498" customWidth="1"/>
    <col min="4647" max="4647" width="4.85546875" style="1498" customWidth="1"/>
    <col min="4648" max="4648" width="8.140625" style="1498" customWidth="1"/>
    <col min="4649" max="4649" width="11.5703125" style="1498" customWidth="1"/>
    <col min="4650" max="4650" width="13.7109375" style="1498" customWidth="1"/>
    <col min="4651" max="4651" width="20.85546875" style="1498" customWidth="1"/>
    <col min="4652" max="4864" width="11.42578125" style="1498"/>
    <col min="4865" max="4865" width="13.140625" style="1498" customWidth="1"/>
    <col min="4866" max="4866" width="4" style="1498" customWidth="1"/>
    <col min="4867" max="4867" width="12.85546875" style="1498" customWidth="1"/>
    <col min="4868" max="4868" width="14.7109375" style="1498" customWidth="1"/>
    <col min="4869" max="4869" width="10" style="1498" customWidth="1"/>
    <col min="4870" max="4870" width="6.28515625" style="1498" customWidth="1"/>
    <col min="4871" max="4871" width="12.28515625" style="1498" customWidth="1"/>
    <col min="4872" max="4872" width="8.5703125" style="1498" customWidth="1"/>
    <col min="4873" max="4873" width="13.7109375" style="1498" customWidth="1"/>
    <col min="4874" max="4874" width="11.5703125" style="1498" customWidth="1"/>
    <col min="4875" max="4875" width="24.7109375" style="1498" customWidth="1"/>
    <col min="4876" max="4876" width="17.42578125" style="1498" customWidth="1"/>
    <col min="4877" max="4877" width="20.85546875" style="1498" customWidth="1"/>
    <col min="4878" max="4878" width="26.85546875" style="1498" customWidth="1"/>
    <col min="4879" max="4879" width="8" style="1498" customWidth="1"/>
    <col min="4880" max="4880" width="25" style="1498" customWidth="1"/>
    <col min="4881" max="4881" width="12.7109375" style="1498" customWidth="1"/>
    <col min="4882" max="4882" width="16.42578125" style="1498" customWidth="1"/>
    <col min="4883" max="4883" width="23.5703125" style="1498" customWidth="1"/>
    <col min="4884" max="4884" width="33.7109375" style="1498" customWidth="1"/>
    <col min="4885" max="4885" width="31.140625" style="1498" customWidth="1"/>
    <col min="4886" max="4886" width="19.28515625" style="1498" customWidth="1"/>
    <col min="4887" max="4887" width="11.7109375" style="1498" customWidth="1"/>
    <col min="4888" max="4888" width="15.42578125" style="1498" customWidth="1"/>
    <col min="4889" max="4889" width="5.5703125" style="1498" customWidth="1"/>
    <col min="4890" max="4890" width="4.7109375" style="1498" customWidth="1"/>
    <col min="4891" max="4892" width="7.28515625" style="1498" customWidth="1"/>
    <col min="4893" max="4893" width="8.42578125" style="1498" customWidth="1"/>
    <col min="4894" max="4894" width="9.5703125" style="1498" customWidth="1"/>
    <col min="4895" max="4895" width="6.28515625" style="1498" customWidth="1"/>
    <col min="4896" max="4896" width="5.85546875" style="1498" customWidth="1"/>
    <col min="4897" max="4898" width="4.42578125" style="1498" customWidth="1"/>
    <col min="4899" max="4899" width="5" style="1498" customWidth="1"/>
    <col min="4900" max="4900" width="5.85546875" style="1498" customWidth="1"/>
    <col min="4901" max="4901" width="6.140625" style="1498" customWidth="1"/>
    <col min="4902" max="4902" width="6.28515625" style="1498" customWidth="1"/>
    <col min="4903" max="4903" width="4.85546875" style="1498" customWidth="1"/>
    <col min="4904" max="4904" width="8.140625" style="1498" customWidth="1"/>
    <col min="4905" max="4905" width="11.5703125" style="1498" customWidth="1"/>
    <col min="4906" max="4906" width="13.7109375" style="1498" customWidth="1"/>
    <col min="4907" max="4907" width="20.85546875" style="1498" customWidth="1"/>
    <col min="4908" max="5120" width="11.42578125" style="1498"/>
    <col min="5121" max="5121" width="13.140625" style="1498" customWidth="1"/>
    <col min="5122" max="5122" width="4" style="1498" customWidth="1"/>
    <col min="5123" max="5123" width="12.85546875" style="1498" customWidth="1"/>
    <col min="5124" max="5124" width="14.7109375" style="1498" customWidth="1"/>
    <col min="5125" max="5125" width="10" style="1498" customWidth="1"/>
    <col min="5126" max="5126" width="6.28515625" style="1498" customWidth="1"/>
    <col min="5127" max="5127" width="12.28515625" style="1498" customWidth="1"/>
    <col min="5128" max="5128" width="8.5703125" style="1498" customWidth="1"/>
    <col min="5129" max="5129" width="13.7109375" style="1498" customWidth="1"/>
    <col min="5130" max="5130" width="11.5703125" style="1498" customWidth="1"/>
    <col min="5131" max="5131" width="24.7109375" style="1498" customWidth="1"/>
    <col min="5132" max="5132" width="17.42578125" style="1498" customWidth="1"/>
    <col min="5133" max="5133" width="20.85546875" style="1498" customWidth="1"/>
    <col min="5134" max="5134" width="26.85546875" style="1498" customWidth="1"/>
    <col min="5135" max="5135" width="8" style="1498" customWidth="1"/>
    <col min="5136" max="5136" width="25" style="1498" customWidth="1"/>
    <col min="5137" max="5137" width="12.7109375" style="1498" customWidth="1"/>
    <col min="5138" max="5138" width="16.42578125" style="1498" customWidth="1"/>
    <col min="5139" max="5139" width="23.5703125" style="1498" customWidth="1"/>
    <col min="5140" max="5140" width="33.7109375" style="1498" customWidth="1"/>
    <col min="5141" max="5141" width="31.140625" style="1498" customWidth="1"/>
    <col min="5142" max="5142" width="19.28515625" style="1498" customWidth="1"/>
    <col min="5143" max="5143" width="11.7109375" style="1498" customWidth="1"/>
    <col min="5144" max="5144" width="15.42578125" style="1498" customWidth="1"/>
    <col min="5145" max="5145" width="5.5703125" style="1498" customWidth="1"/>
    <col min="5146" max="5146" width="4.7109375" style="1498" customWidth="1"/>
    <col min="5147" max="5148" width="7.28515625" style="1498" customWidth="1"/>
    <col min="5149" max="5149" width="8.42578125" style="1498" customWidth="1"/>
    <col min="5150" max="5150" width="9.5703125" style="1498" customWidth="1"/>
    <col min="5151" max="5151" width="6.28515625" style="1498" customWidth="1"/>
    <col min="5152" max="5152" width="5.85546875" style="1498" customWidth="1"/>
    <col min="5153" max="5154" width="4.42578125" style="1498" customWidth="1"/>
    <col min="5155" max="5155" width="5" style="1498" customWidth="1"/>
    <col min="5156" max="5156" width="5.85546875" style="1498" customWidth="1"/>
    <col min="5157" max="5157" width="6.140625" style="1498" customWidth="1"/>
    <col min="5158" max="5158" width="6.28515625" style="1498" customWidth="1"/>
    <col min="5159" max="5159" width="4.85546875" style="1498" customWidth="1"/>
    <col min="5160" max="5160" width="8.140625" style="1498" customWidth="1"/>
    <col min="5161" max="5161" width="11.5703125" style="1498" customWidth="1"/>
    <col min="5162" max="5162" width="13.7109375" style="1498" customWidth="1"/>
    <col min="5163" max="5163" width="20.85546875" style="1498" customWidth="1"/>
    <col min="5164" max="5376" width="11.42578125" style="1498"/>
    <col min="5377" max="5377" width="13.140625" style="1498" customWidth="1"/>
    <col min="5378" max="5378" width="4" style="1498" customWidth="1"/>
    <col min="5379" max="5379" width="12.85546875" style="1498" customWidth="1"/>
    <col min="5380" max="5380" width="14.7109375" style="1498" customWidth="1"/>
    <col min="5381" max="5381" width="10" style="1498" customWidth="1"/>
    <col min="5382" max="5382" width="6.28515625" style="1498" customWidth="1"/>
    <col min="5383" max="5383" width="12.28515625" style="1498" customWidth="1"/>
    <col min="5384" max="5384" width="8.5703125" style="1498" customWidth="1"/>
    <col min="5385" max="5385" width="13.7109375" style="1498" customWidth="1"/>
    <col min="5386" max="5386" width="11.5703125" style="1498" customWidth="1"/>
    <col min="5387" max="5387" width="24.7109375" style="1498" customWidth="1"/>
    <col min="5388" max="5388" width="17.42578125" style="1498" customWidth="1"/>
    <col min="5389" max="5389" width="20.85546875" style="1498" customWidth="1"/>
    <col min="5390" max="5390" width="26.85546875" style="1498" customWidth="1"/>
    <col min="5391" max="5391" width="8" style="1498" customWidth="1"/>
    <col min="5392" max="5392" width="25" style="1498" customWidth="1"/>
    <col min="5393" max="5393" width="12.7109375" style="1498" customWidth="1"/>
    <col min="5394" max="5394" width="16.42578125" style="1498" customWidth="1"/>
    <col min="5395" max="5395" width="23.5703125" style="1498" customWidth="1"/>
    <col min="5396" max="5396" width="33.7109375" style="1498" customWidth="1"/>
    <col min="5397" max="5397" width="31.140625" style="1498" customWidth="1"/>
    <col min="5398" max="5398" width="19.28515625" style="1498" customWidth="1"/>
    <col min="5399" max="5399" width="11.7109375" style="1498" customWidth="1"/>
    <col min="5400" max="5400" width="15.42578125" style="1498" customWidth="1"/>
    <col min="5401" max="5401" width="5.5703125" style="1498" customWidth="1"/>
    <col min="5402" max="5402" width="4.7109375" style="1498" customWidth="1"/>
    <col min="5403" max="5404" width="7.28515625" style="1498" customWidth="1"/>
    <col min="5405" max="5405" width="8.42578125" style="1498" customWidth="1"/>
    <col min="5406" max="5406" width="9.5703125" style="1498" customWidth="1"/>
    <col min="5407" max="5407" width="6.28515625" style="1498" customWidth="1"/>
    <col min="5408" max="5408" width="5.85546875" style="1498" customWidth="1"/>
    <col min="5409" max="5410" width="4.42578125" style="1498" customWidth="1"/>
    <col min="5411" max="5411" width="5" style="1498" customWidth="1"/>
    <col min="5412" max="5412" width="5.85546875" style="1498" customWidth="1"/>
    <col min="5413" max="5413" width="6.140625" style="1498" customWidth="1"/>
    <col min="5414" max="5414" width="6.28515625" style="1498" customWidth="1"/>
    <col min="5415" max="5415" width="4.85546875" style="1498" customWidth="1"/>
    <col min="5416" max="5416" width="8.140625" style="1498" customWidth="1"/>
    <col min="5417" max="5417" width="11.5703125" style="1498" customWidth="1"/>
    <col min="5418" max="5418" width="13.7109375" style="1498" customWidth="1"/>
    <col min="5419" max="5419" width="20.85546875" style="1498" customWidth="1"/>
    <col min="5420" max="5632" width="11.42578125" style="1498"/>
    <col min="5633" max="5633" width="13.140625" style="1498" customWidth="1"/>
    <col min="5634" max="5634" width="4" style="1498" customWidth="1"/>
    <col min="5635" max="5635" width="12.85546875" style="1498" customWidth="1"/>
    <col min="5636" max="5636" width="14.7109375" style="1498" customWidth="1"/>
    <col min="5637" max="5637" width="10" style="1498" customWidth="1"/>
    <col min="5638" max="5638" width="6.28515625" style="1498" customWidth="1"/>
    <col min="5639" max="5639" width="12.28515625" style="1498" customWidth="1"/>
    <col min="5640" max="5640" width="8.5703125" style="1498" customWidth="1"/>
    <col min="5641" max="5641" width="13.7109375" style="1498" customWidth="1"/>
    <col min="5642" max="5642" width="11.5703125" style="1498" customWidth="1"/>
    <col min="5643" max="5643" width="24.7109375" style="1498" customWidth="1"/>
    <col min="5644" max="5644" width="17.42578125" style="1498" customWidth="1"/>
    <col min="5645" max="5645" width="20.85546875" style="1498" customWidth="1"/>
    <col min="5646" max="5646" width="26.85546875" style="1498" customWidth="1"/>
    <col min="5647" max="5647" width="8" style="1498" customWidth="1"/>
    <col min="5648" max="5648" width="25" style="1498" customWidth="1"/>
    <col min="5649" max="5649" width="12.7109375" style="1498" customWidth="1"/>
    <col min="5650" max="5650" width="16.42578125" style="1498" customWidth="1"/>
    <col min="5651" max="5651" width="23.5703125" style="1498" customWidth="1"/>
    <col min="5652" max="5652" width="33.7109375" style="1498" customWidth="1"/>
    <col min="5653" max="5653" width="31.140625" style="1498" customWidth="1"/>
    <col min="5654" max="5654" width="19.28515625" style="1498" customWidth="1"/>
    <col min="5655" max="5655" width="11.7109375" style="1498" customWidth="1"/>
    <col min="5656" max="5656" width="15.42578125" style="1498" customWidth="1"/>
    <col min="5657" max="5657" width="5.5703125" style="1498" customWidth="1"/>
    <col min="5658" max="5658" width="4.7109375" style="1498" customWidth="1"/>
    <col min="5659" max="5660" width="7.28515625" style="1498" customWidth="1"/>
    <col min="5661" max="5661" width="8.42578125" style="1498" customWidth="1"/>
    <col min="5662" max="5662" width="9.5703125" style="1498" customWidth="1"/>
    <col min="5663" max="5663" width="6.28515625" style="1498" customWidth="1"/>
    <col min="5664" max="5664" width="5.85546875" style="1498" customWidth="1"/>
    <col min="5665" max="5666" width="4.42578125" style="1498" customWidth="1"/>
    <col min="5667" max="5667" width="5" style="1498" customWidth="1"/>
    <col min="5668" max="5668" width="5.85546875" style="1498" customWidth="1"/>
    <col min="5669" max="5669" width="6.140625" style="1498" customWidth="1"/>
    <col min="5670" max="5670" width="6.28515625" style="1498" customWidth="1"/>
    <col min="5671" max="5671" width="4.85546875" style="1498" customWidth="1"/>
    <col min="5672" max="5672" width="8.140625" style="1498" customWidth="1"/>
    <col min="5673" max="5673" width="11.5703125" style="1498" customWidth="1"/>
    <col min="5674" max="5674" width="13.7109375" style="1498" customWidth="1"/>
    <col min="5675" max="5675" width="20.85546875" style="1498" customWidth="1"/>
    <col min="5676" max="5888" width="11.42578125" style="1498"/>
    <col min="5889" max="5889" width="13.140625" style="1498" customWidth="1"/>
    <col min="5890" max="5890" width="4" style="1498" customWidth="1"/>
    <col min="5891" max="5891" width="12.85546875" style="1498" customWidth="1"/>
    <col min="5892" max="5892" width="14.7109375" style="1498" customWidth="1"/>
    <col min="5893" max="5893" width="10" style="1498" customWidth="1"/>
    <col min="5894" max="5894" width="6.28515625" style="1498" customWidth="1"/>
    <col min="5895" max="5895" width="12.28515625" style="1498" customWidth="1"/>
    <col min="5896" max="5896" width="8.5703125" style="1498" customWidth="1"/>
    <col min="5897" max="5897" width="13.7109375" style="1498" customWidth="1"/>
    <col min="5898" max="5898" width="11.5703125" style="1498" customWidth="1"/>
    <col min="5899" max="5899" width="24.7109375" style="1498" customWidth="1"/>
    <col min="5900" max="5900" width="17.42578125" style="1498" customWidth="1"/>
    <col min="5901" max="5901" width="20.85546875" style="1498" customWidth="1"/>
    <col min="5902" max="5902" width="26.85546875" style="1498" customWidth="1"/>
    <col min="5903" max="5903" width="8" style="1498" customWidth="1"/>
    <col min="5904" max="5904" width="25" style="1498" customWidth="1"/>
    <col min="5905" max="5905" width="12.7109375" style="1498" customWidth="1"/>
    <col min="5906" max="5906" width="16.42578125" style="1498" customWidth="1"/>
    <col min="5907" max="5907" width="23.5703125" style="1498" customWidth="1"/>
    <col min="5908" max="5908" width="33.7109375" style="1498" customWidth="1"/>
    <col min="5909" max="5909" width="31.140625" style="1498" customWidth="1"/>
    <col min="5910" max="5910" width="19.28515625" style="1498" customWidth="1"/>
    <col min="5911" max="5911" width="11.7109375" style="1498" customWidth="1"/>
    <col min="5912" max="5912" width="15.42578125" style="1498" customWidth="1"/>
    <col min="5913" max="5913" width="5.5703125" style="1498" customWidth="1"/>
    <col min="5914" max="5914" width="4.7109375" style="1498" customWidth="1"/>
    <col min="5915" max="5916" width="7.28515625" style="1498" customWidth="1"/>
    <col min="5917" max="5917" width="8.42578125" style="1498" customWidth="1"/>
    <col min="5918" max="5918" width="9.5703125" style="1498" customWidth="1"/>
    <col min="5919" max="5919" width="6.28515625" style="1498" customWidth="1"/>
    <col min="5920" max="5920" width="5.85546875" style="1498" customWidth="1"/>
    <col min="5921" max="5922" width="4.42578125" style="1498" customWidth="1"/>
    <col min="5923" max="5923" width="5" style="1498" customWidth="1"/>
    <col min="5924" max="5924" width="5.85546875" style="1498" customWidth="1"/>
    <col min="5925" max="5925" width="6.140625" style="1498" customWidth="1"/>
    <col min="5926" max="5926" width="6.28515625" style="1498" customWidth="1"/>
    <col min="5927" max="5927" width="4.85546875" style="1498" customWidth="1"/>
    <col min="5928" max="5928" width="8.140625" style="1498" customWidth="1"/>
    <col min="5929" max="5929" width="11.5703125" style="1498" customWidth="1"/>
    <col min="5930" max="5930" width="13.7109375" style="1498" customWidth="1"/>
    <col min="5931" max="5931" width="20.85546875" style="1498" customWidth="1"/>
    <col min="5932" max="6144" width="11.42578125" style="1498"/>
    <col min="6145" max="6145" width="13.140625" style="1498" customWidth="1"/>
    <col min="6146" max="6146" width="4" style="1498" customWidth="1"/>
    <col min="6147" max="6147" width="12.85546875" style="1498" customWidth="1"/>
    <col min="6148" max="6148" width="14.7109375" style="1498" customWidth="1"/>
    <col min="6149" max="6149" width="10" style="1498" customWidth="1"/>
    <col min="6150" max="6150" width="6.28515625" style="1498" customWidth="1"/>
    <col min="6151" max="6151" width="12.28515625" style="1498" customWidth="1"/>
    <col min="6152" max="6152" width="8.5703125" style="1498" customWidth="1"/>
    <col min="6153" max="6153" width="13.7109375" style="1498" customWidth="1"/>
    <col min="6154" max="6154" width="11.5703125" style="1498" customWidth="1"/>
    <col min="6155" max="6155" width="24.7109375" style="1498" customWidth="1"/>
    <col min="6156" max="6156" width="17.42578125" style="1498" customWidth="1"/>
    <col min="6157" max="6157" width="20.85546875" style="1498" customWidth="1"/>
    <col min="6158" max="6158" width="26.85546875" style="1498" customWidth="1"/>
    <col min="6159" max="6159" width="8" style="1498" customWidth="1"/>
    <col min="6160" max="6160" width="25" style="1498" customWidth="1"/>
    <col min="6161" max="6161" width="12.7109375" style="1498" customWidth="1"/>
    <col min="6162" max="6162" width="16.42578125" style="1498" customWidth="1"/>
    <col min="6163" max="6163" width="23.5703125" style="1498" customWidth="1"/>
    <col min="6164" max="6164" width="33.7109375" style="1498" customWidth="1"/>
    <col min="6165" max="6165" width="31.140625" style="1498" customWidth="1"/>
    <col min="6166" max="6166" width="19.28515625" style="1498" customWidth="1"/>
    <col min="6167" max="6167" width="11.7109375" style="1498" customWidth="1"/>
    <col min="6168" max="6168" width="15.42578125" style="1498" customWidth="1"/>
    <col min="6169" max="6169" width="5.5703125" style="1498" customWidth="1"/>
    <col min="6170" max="6170" width="4.7109375" style="1498" customWidth="1"/>
    <col min="6171" max="6172" width="7.28515625" style="1498" customWidth="1"/>
    <col min="6173" max="6173" width="8.42578125" style="1498" customWidth="1"/>
    <col min="6174" max="6174" width="9.5703125" style="1498" customWidth="1"/>
    <col min="6175" max="6175" width="6.28515625" style="1498" customWidth="1"/>
    <col min="6176" max="6176" width="5.85546875" style="1498" customWidth="1"/>
    <col min="6177" max="6178" width="4.42578125" style="1498" customWidth="1"/>
    <col min="6179" max="6179" width="5" style="1498" customWidth="1"/>
    <col min="6180" max="6180" width="5.85546875" style="1498" customWidth="1"/>
    <col min="6181" max="6181" width="6.140625" style="1498" customWidth="1"/>
    <col min="6182" max="6182" width="6.28515625" style="1498" customWidth="1"/>
    <col min="6183" max="6183" width="4.85546875" style="1498" customWidth="1"/>
    <col min="6184" max="6184" width="8.140625" style="1498" customWidth="1"/>
    <col min="6185" max="6185" width="11.5703125" style="1498" customWidth="1"/>
    <col min="6186" max="6186" width="13.7109375" style="1498" customWidth="1"/>
    <col min="6187" max="6187" width="20.85546875" style="1498" customWidth="1"/>
    <col min="6188" max="6400" width="11.42578125" style="1498"/>
    <col min="6401" max="6401" width="13.140625" style="1498" customWidth="1"/>
    <col min="6402" max="6402" width="4" style="1498" customWidth="1"/>
    <col min="6403" max="6403" width="12.85546875" style="1498" customWidth="1"/>
    <col min="6404" max="6404" width="14.7109375" style="1498" customWidth="1"/>
    <col min="6405" max="6405" width="10" style="1498" customWidth="1"/>
    <col min="6406" max="6406" width="6.28515625" style="1498" customWidth="1"/>
    <col min="6407" max="6407" width="12.28515625" style="1498" customWidth="1"/>
    <col min="6408" max="6408" width="8.5703125" style="1498" customWidth="1"/>
    <col min="6409" max="6409" width="13.7109375" style="1498" customWidth="1"/>
    <col min="6410" max="6410" width="11.5703125" style="1498" customWidth="1"/>
    <col min="6411" max="6411" width="24.7109375" style="1498" customWidth="1"/>
    <col min="6412" max="6412" width="17.42578125" style="1498" customWidth="1"/>
    <col min="6413" max="6413" width="20.85546875" style="1498" customWidth="1"/>
    <col min="6414" max="6414" width="26.85546875" style="1498" customWidth="1"/>
    <col min="6415" max="6415" width="8" style="1498" customWidth="1"/>
    <col min="6416" max="6416" width="25" style="1498" customWidth="1"/>
    <col min="6417" max="6417" width="12.7109375" style="1498" customWidth="1"/>
    <col min="6418" max="6418" width="16.42578125" style="1498" customWidth="1"/>
    <col min="6419" max="6419" width="23.5703125" style="1498" customWidth="1"/>
    <col min="6420" max="6420" width="33.7109375" style="1498" customWidth="1"/>
    <col min="6421" max="6421" width="31.140625" style="1498" customWidth="1"/>
    <col min="6422" max="6422" width="19.28515625" style="1498" customWidth="1"/>
    <col min="6423" max="6423" width="11.7109375" style="1498" customWidth="1"/>
    <col min="6424" max="6424" width="15.42578125" style="1498" customWidth="1"/>
    <col min="6425" max="6425" width="5.5703125" style="1498" customWidth="1"/>
    <col min="6426" max="6426" width="4.7109375" style="1498" customWidth="1"/>
    <col min="6427" max="6428" width="7.28515625" style="1498" customWidth="1"/>
    <col min="6429" max="6429" width="8.42578125" style="1498" customWidth="1"/>
    <col min="6430" max="6430" width="9.5703125" style="1498" customWidth="1"/>
    <col min="6431" max="6431" width="6.28515625" style="1498" customWidth="1"/>
    <col min="6432" max="6432" width="5.85546875" style="1498" customWidth="1"/>
    <col min="6433" max="6434" width="4.42578125" style="1498" customWidth="1"/>
    <col min="6435" max="6435" width="5" style="1498" customWidth="1"/>
    <col min="6436" max="6436" width="5.85546875" style="1498" customWidth="1"/>
    <col min="6437" max="6437" width="6.140625" style="1498" customWidth="1"/>
    <col min="6438" max="6438" width="6.28515625" style="1498" customWidth="1"/>
    <col min="6439" max="6439" width="4.85546875" style="1498" customWidth="1"/>
    <col min="6440" max="6440" width="8.140625" style="1498" customWidth="1"/>
    <col min="6441" max="6441" width="11.5703125" style="1498" customWidth="1"/>
    <col min="6442" max="6442" width="13.7109375" style="1498" customWidth="1"/>
    <col min="6443" max="6443" width="20.85546875" style="1498" customWidth="1"/>
    <col min="6444" max="6656" width="11.42578125" style="1498"/>
    <col min="6657" max="6657" width="13.140625" style="1498" customWidth="1"/>
    <col min="6658" max="6658" width="4" style="1498" customWidth="1"/>
    <col min="6659" max="6659" width="12.85546875" style="1498" customWidth="1"/>
    <col min="6660" max="6660" width="14.7109375" style="1498" customWidth="1"/>
    <col min="6661" max="6661" width="10" style="1498" customWidth="1"/>
    <col min="6662" max="6662" width="6.28515625" style="1498" customWidth="1"/>
    <col min="6663" max="6663" width="12.28515625" style="1498" customWidth="1"/>
    <col min="6664" max="6664" width="8.5703125" style="1498" customWidth="1"/>
    <col min="6665" max="6665" width="13.7109375" style="1498" customWidth="1"/>
    <col min="6666" max="6666" width="11.5703125" style="1498" customWidth="1"/>
    <col min="6667" max="6667" width="24.7109375" style="1498" customWidth="1"/>
    <col min="6668" max="6668" width="17.42578125" style="1498" customWidth="1"/>
    <col min="6669" max="6669" width="20.85546875" style="1498" customWidth="1"/>
    <col min="6670" max="6670" width="26.85546875" style="1498" customWidth="1"/>
    <col min="6671" max="6671" width="8" style="1498" customWidth="1"/>
    <col min="6672" max="6672" width="25" style="1498" customWidth="1"/>
    <col min="6673" max="6673" width="12.7109375" style="1498" customWidth="1"/>
    <col min="6674" max="6674" width="16.42578125" style="1498" customWidth="1"/>
    <col min="6675" max="6675" width="23.5703125" style="1498" customWidth="1"/>
    <col min="6676" max="6676" width="33.7109375" style="1498" customWidth="1"/>
    <col min="6677" max="6677" width="31.140625" style="1498" customWidth="1"/>
    <col min="6678" max="6678" width="19.28515625" style="1498" customWidth="1"/>
    <col min="6679" max="6679" width="11.7109375" style="1498" customWidth="1"/>
    <col min="6680" max="6680" width="15.42578125" style="1498" customWidth="1"/>
    <col min="6681" max="6681" width="5.5703125" style="1498" customWidth="1"/>
    <col min="6682" max="6682" width="4.7109375" style="1498" customWidth="1"/>
    <col min="6683" max="6684" width="7.28515625" style="1498" customWidth="1"/>
    <col min="6685" max="6685" width="8.42578125" style="1498" customWidth="1"/>
    <col min="6686" max="6686" width="9.5703125" style="1498" customWidth="1"/>
    <col min="6687" max="6687" width="6.28515625" style="1498" customWidth="1"/>
    <col min="6688" max="6688" width="5.85546875" style="1498" customWidth="1"/>
    <col min="6689" max="6690" width="4.42578125" style="1498" customWidth="1"/>
    <col min="6691" max="6691" width="5" style="1498" customWidth="1"/>
    <col min="6692" max="6692" width="5.85546875" style="1498" customWidth="1"/>
    <col min="6693" max="6693" width="6.140625" style="1498" customWidth="1"/>
    <col min="6694" max="6694" width="6.28515625" style="1498" customWidth="1"/>
    <col min="6695" max="6695" width="4.85546875" style="1498" customWidth="1"/>
    <col min="6696" max="6696" width="8.140625" style="1498" customWidth="1"/>
    <col min="6697" max="6697" width="11.5703125" style="1498" customWidth="1"/>
    <col min="6698" max="6698" width="13.7109375" style="1498" customWidth="1"/>
    <col min="6699" max="6699" width="20.85546875" style="1498" customWidth="1"/>
    <col min="6700" max="6912" width="11.42578125" style="1498"/>
    <col min="6913" max="6913" width="13.140625" style="1498" customWidth="1"/>
    <col min="6914" max="6914" width="4" style="1498" customWidth="1"/>
    <col min="6915" max="6915" width="12.85546875" style="1498" customWidth="1"/>
    <col min="6916" max="6916" width="14.7109375" style="1498" customWidth="1"/>
    <col min="6917" max="6917" width="10" style="1498" customWidth="1"/>
    <col min="6918" max="6918" width="6.28515625" style="1498" customWidth="1"/>
    <col min="6919" max="6919" width="12.28515625" style="1498" customWidth="1"/>
    <col min="6920" max="6920" width="8.5703125" style="1498" customWidth="1"/>
    <col min="6921" max="6921" width="13.7109375" style="1498" customWidth="1"/>
    <col min="6922" max="6922" width="11.5703125" style="1498" customWidth="1"/>
    <col min="6923" max="6923" width="24.7109375" style="1498" customWidth="1"/>
    <col min="6924" max="6924" width="17.42578125" style="1498" customWidth="1"/>
    <col min="6925" max="6925" width="20.85546875" style="1498" customWidth="1"/>
    <col min="6926" max="6926" width="26.85546875" style="1498" customWidth="1"/>
    <col min="6927" max="6927" width="8" style="1498" customWidth="1"/>
    <col min="6928" max="6928" width="25" style="1498" customWidth="1"/>
    <col min="6929" max="6929" width="12.7109375" style="1498" customWidth="1"/>
    <col min="6930" max="6930" width="16.42578125" style="1498" customWidth="1"/>
    <col min="6931" max="6931" width="23.5703125" style="1498" customWidth="1"/>
    <col min="6932" max="6932" width="33.7109375" style="1498" customWidth="1"/>
    <col min="6933" max="6933" width="31.140625" style="1498" customWidth="1"/>
    <col min="6934" max="6934" width="19.28515625" style="1498" customWidth="1"/>
    <col min="6935" max="6935" width="11.7109375" style="1498" customWidth="1"/>
    <col min="6936" max="6936" width="15.42578125" style="1498" customWidth="1"/>
    <col min="6937" max="6937" width="5.5703125" style="1498" customWidth="1"/>
    <col min="6938" max="6938" width="4.7109375" style="1498" customWidth="1"/>
    <col min="6939" max="6940" width="7.28515625" style="1498" customWidth="1"/>
    <col min="6941" max="6941" width="8.42578125" style="1498" customWidth="1"/>
    <col min="6942" max="6942" width="9.5703125" style="1498" customWidth="1"/>
    <col min="6943" max="6943" width="6.28515625" style="1498" customWidth="1"/>
    <col min="6944" max="6944" width="5.85546875" style="1498" customWidth="1"/>
    <col min="6945" max="6946" width="4.42578125" style="1498" customWidth="1"/>
    <col min="6947" max="6947" width="5" style="1498" customWidth="1"/>
    <col min="6948" max="6948" width="5.85546875" style="1498" customWidth="1"/>
    <col min="6949" max="6949" width="6.140625" style="1498" customWidth="1"/>
    <col min="6950" max="6950" width="6.28515625" style="1498" customWidth="1"/>
    <col min="6951" max="6951" width="4.85546875" style="1498" customWidth="1"/>
    <col min="6952" max="6952" width="8.140625" style="1498" customWidth="1"/>
    <col min="6953" max="6953" width="11.5703125" style="1498" customWidth="1"/>
    <col min="6954" max="6954" width="13.7109375" style="1498" customWidth="1"/>
    <col min="6955" max="6955" width="20.85546875" style="1498" customWidth="1"/>
    <col min="6956" max="7168" width="11.42578125" style="1498"/>
    <col min="7169" max="7169" width="13.140625" style="1498" customWidth="1"/>
    <col min="7170" max="7170" width="4" style="1498" customWidth="1"/>
    <col min="7171" max="7171" width="12.85546875" style="1498" customWidth="1"/>
    <col min="7172" max="7172" width="14.7109375" style="1498" customWidth="1"/>
    <col min="7173" max="7173" width="10" style="1498" customWidth="1"/>
    <col min="7174" max="7174" width="6.28515625" style="1498" customWidth="1"/>
    <col min="7175" max="7175" width="12.28515625" style="1498" customWidth="1"/>
    <col min="7176" max="7176" width="8.5703125" style="1498" customWidth="1"/>
    <col min="7177" max="7177" width="13.7109375" style="1498" customWidth="1"/>
    <col min="7178" max="7178" width="11.5703125" style="1498" customWidth="1"/>
    <col min="7179" max="7179" width="24.7109375" style="1498" customWidth="1"/>
    <col min="7180" max="7180" width="17.42578125" style="1498" customWidth="1"/>
    <col min="7181" max="7181" width="20.85546875" style="1498" customWidth="1"/>
    <col min="7182" max="7182" width="26.85546875" style="1498" customWidth="1"/>
    <col min="7183" max="7183" width="8" style="1498" customWidth="1"/>
    <col min="7184" max="7184" width="25" style="1498" customWidth="1"/>
    <col min="7185" max="7185" width="12.7109375" style="1498" customWidth="1"/>
    <col min="7186" max="7186" width="16.42578125" style="1498" customWidth="1"/>
    <col min="7187" max="7187" width="23.5703125" style="1498" customWidth="1"/>
    <col min="7188" max="7188" width="33.7109375" style="1498" customWidth="1"/>
    <col min="7189" max="7189" width="31.140625" style="1498" customWidth="1"/>
    <col min="7190" max="7190" width="19.28515625" style="1498" customWidth="1"/>
    <col min="7191" max="7191" width="11.7109375" style="1498" customWidth="1"/>
    <col min="7192" max="7192" width="15.42578125" style="1498" customWidth="1"/>
    <col min="7193" max="7193" width="5.5703125" style="1498" customWidth="1"/>
    <col min="7194" max="7194" width="4.7109375" style="1498" customWidth="1"/>
    <col min="7195" max="7196" width="7.28515625" style="1498" customWidth="1"/>
    <col min="7197" max="7197" width="8.42578125" style="1498" customWidth="1"/>
    <col min="7198" max="7198" width="9.5703125" style="1498" customWidth="1"/>
    <col min="7199" max="7199" width="6.28515625" style="1498" customWidth="1"/>
    <col min="7200" max="7200" width="5.85546875" style="1498" customWidth="1"/>
    <col min="7201" max="7202" width="4.42578125" style="1498" customWidth="1"/>
    <col min="7203" max="7203" width="5" style="1498" customWidth="1"/>
    <col min="7204" max="7204" width="5.85546875" style="1498" customWidth="1"/>
    <col min="7205" max="7205" width="6.140625" style="1498" customWidth="1"/>
    <col min="7206" max="7206" width="6.28515625" style="1498" customWidth="1"/>
    <col min="7207" max="7207" width="4.85546875" style="1498" customWidth="1"/>
    <col min="7208" max="7208" width="8.140625" style="1498" customWidth="1"/>
    <col min="7209" max="7209" width="11.5703125" style="1498" customWidth="1"/>
    <col min="7210" max="7210" width="13.7109375" style="1498" customWidth="1"/>
    <col min="7211" max="7211" width="20.85546875" style="1498" customWidth="1"/>
    <col min="7212" max="7424" width="11.42578125" style="1498"/>
    <col min="7425" max="7425" width="13.140625" style="1498" customWidth="1"/>
    <col min="7426" max="7426" width="4" style="1498" customWidth="1"/>
    <col min="7427" max="7427" width="12.85546875" style="1498" customWidth="1"/>
    <col min="7428" max="7428" width="14.7109375" style="1498" customWidth="1"/>
    <col min="7429" max="7429" width="10" style="1498" customWidth="1"/>
    <col min="7430" max="7430" width="6.28515625" style="1498" customWidth="1"/>
    <col min="7431" max="7431" width="12.28515625" style="1498" customWidth="1"/>
    <col min="7432" max="7432" width="8.5703125" style="1498" customWidth="1"/>
    <col min="7433" max="7433" width="13.7109375" style="1498" customWidth="1"/>
    <col min="7434" max="7434" width="11.5703125" style="1498" customWidth="1"/>
    <col min="7435" max="7435" width="24.7109375" style="1498" customWidth="1"/>
    <col min="7436" max="7436" width="17.42578125" style="1498" customWidth="1"/>
    <col min="7437" max="7437" width="20.85546875" style="1498" customWidth="1"/>
    <col min="7438" max="7438" width="26.85546875" style="1498" customWidth="1"/>
    <col min="7439" max="7439" width="8" style="1498" customWidth="1"/>
    <col min="7440" max="7440" width="25" style="1498" customWidth="1"/>
    <col min="7441" max="7441" width="12.7109375" style="1498" customWidth="1"/>
    <col min="7442" max="7442" width="16.42578125" style="1498" customWidth="1"/>
    <col min="7443" max="7443" width="23.5703125" style="1498" customWidth="1"/>
    <col min="7444" max="7444" width="33.7109375" style="1498" customWidth="1"/>
    <col min="7445" max="7445" width="31.140625" style="1498" customWidth="1"/>
    <col min="7446" max="7446" width="19.28515625" style="1498" customWidth="1"/>
    <col min="7447" max="7447" width="11.7109375" style="1498" customWidth="1"/>
    <col min="7448" max="7448" width="15.42578125" style="1498" customWidth="1"/>
    <col min="7449" max="7449" width="5.5703125" style="1498" customWidth="1"/>
    <col min="7450" max="7450" width="4.7109375" style="1498" customWidth="1"/>
    <col min="7451" max="7452" width="7.28515625" style="1498" customWidth="1"/>
    <col min="7453" max="7453" width="8.42578125" style="1498" customWidth="1"/>
    <col min="7454" max="7454" width="9.5703125" style="1498" customWidth="1"/>
    <col min="7455" max="7455" width="6.28515625" style="1498" customWidth="1"/>
    <col min="7456" max="7456" width="5.85546875" style="1498" customWidth="1"/>
    <col min="7457" max="7458" width="4.42578125" style="1498" customWidth="1"/>
    <col min="7459" max="7459" width="5" style="1498" customWidth="1"/>
    <col min="7460" max="7460" width="5.85546875" style="1498" customWidth="1"/>
    <col min="7461" max="7461" width="6.140625" style="1498" customWidth="1"/>
    <col min="7462" max="7462" width="6.28515625" style="1498" customWidth="1"/>
    <col min="7463" max="7463" width="4.85546875" style="1498" customWidth="1"/>
    <col min="7464" max="7464" width="8.140625" style="1498" customWidth="1"/>
    <col min="7465" max="7465" width="11.5703125" style="1498" customWidth="1"/>
    <col min="7466" max="7466" width="13.7109375" style="1498" customWidth="1"/>
    <col min="7467" max="7467" width="20.85546875" style="1498" customWidth="1"/>
    <col min="7468" max="7680" width="11.42578125" style="1498"/>
    <col min="7681" max="7681" width="13.140625" style="1498" customWidth="1"/>
    <col min="7682" max="7682" width="4" style="1498" customWidth="1"/>
    <col min="7683" max="7683" width="12.85546875" style="1498" customWidth="1"/>
    <col min="7684" max="7684" width="14.7109375" style="1498" customWidth="1"/>
    <col min="7685" max="7685" width="10" style="1498" customWidth="1"/>
    <col min="7686" max="7686" width="6.28515625" style="1498" customWidth="1"/>
    <col min="7687" max="7687" width="12.28515625" style="1498" customWidth="1"/>
    <col min="7688" max="7688" width="8.5703125" style="1498" customWidth="1"/>
    <col min="7689" max="7689" width="13.7109375" style="1498" customWidth="1"/>
    <col min="7690" max="7690" width="11.5703125" style="1498" customWidth="1"/>
    <col min="7691" max="7691" width="24.7109375" style="1498" customWidth="1"/>
    <col min="7692" max="7692" width="17.42578125" style="1498" customWidth="1"/>
    <col min="7693" max="7693" width="20.85546875" style="1498" customWidth="1"/>
    <col min="7694" max="7694" width="26.85546875" style="1498" customWidth="1"/>
    <col min="7695" max="7695" width="8" style="1498" customWidth="1"/>
    <col min="7696" max="7696" width="25" style="1498" customWidth="1"/>
    <col min="7697" max="7697" width="12.7109375" style="1498" customWidth="1"/>
    <col min="7698" max="7698" width="16.42578125" style="1498" customWidth="1"/>
    <col min="7699" max="7699" width="23.5703125" style="1498" customWidth="1"/>
    <col min="7700" max="7700" width="33.7109375" style="1498" customWidth="1"/>
    <col min="7701" max="7701" width="31.140625" style="1498" customWidth="1"/>
    <col min="7702" max="7702" width="19.28515625" style="1498" customWidth="1"/>
    <col min="7703" max="7703" width="11.7109375" style="1498" customWidth="1"/>
    <col min="7704" max="7704" width="15.42578125" style="1498" customWidth="1"/>
    <col min="7705" max="7705" width="5.5703125" style="1498" customWidth="1"/>
    <col min="7706" max="7706" width="4.7109375" style="1498" customWidth="1"/>
    <col min="7707" max="7708" width="7.28515625" style="1498" customWidth="1"/>
    <col min="7709" max="7709" width="8.42578125" style="1498" customWidth="1"/>
    <col min="7710" max="7710" width="9.5703125" style="1498" customWidth="1"/>
    <col min="7711" max="7711" width="6.28515625" style="1498" customWidth="1"/>
    <col min="7712" max="7712" width="5.85546875" style="1498" customWidth="1"/>
    <col min="7713" max="7714" width="4.42578125" style="1498" customWidth="1"/>
    <col min="7715" max="7715" width="5" style="1498" customWidth="1"/>
    <col min="7716" max="7716" width="5.85546875" style="1498" customWidth="1"/>
    <col min="7717" max="7717" width="6.140625" style="1498" customWidth="1"/>
    <col min="7718" max="7718" width="6.28515625" style="1498" customWidth="1"/>
    <col min="7719" max="7719" width="4.85546875" style="1498" customWidth="1"/>
    <col min="7720" max="7720" width="8.140625" style="1498" customWidth="1"/>
    <col min="7721" max="7721" width="11.5703125" style="1498" customWidth="1"/>
    <col min="7722" max="7722" width="13.7109375" style="1498" customWidth="1"/>
    <col min="7723" max="7723" width="20.85546875" style="1498" customWidth="1"/>
    <col min="7724" max="7936" width="11.42578125" style="1498"/>
    <col min="7937" max="7937" width="13.140625" style="1498" customWidth="1"/>
    <col min="7938" max="7938" width="4" style="1498" customWidth="1"/>
    <col min="7939" max="7939" width="12.85546875" style="1498" customWidth="1"/>
    <col min="7940" max="7940" width="14.7109375" style="1498" customWidth="1"/>
    <col min="7941" max="7941" width="10" style="1498" customWidth="1"/>
    <col min="7942" max="7942" width="6.28515625" style="1498" customWidth="1"/>
    <col min="7943" max="7943" width="12.28515625" style="1498" customWidth="1"/>
    <col min="7944" max="7944" width="8.5703125" style="1498" customWidth="1"/>
    <col min="7945" max="7945" width="13.7109375" style="1498" customWidth="1"/>
    <col min="7946" max="7946" width="11.5703125" style="1498" customWidth="1"/>
    <col min="7947" max="7947" width="24.7109375" style="1498" customWidth="1"/>
    <col min="7948" max="7948" width="17.42578125" style="1498" customWidth="1"/>
    <col min="7949" max="7949" width="20.85546875" style="1498" customWidth="1"/>
    <col min="7950" max="7950" width="26.85546875" style="1498" customWidth="1"/>
    <col min="7951" max="7951" width="8" style="1498" customWidth="1"/>
    <col min="7952" max="7952" width="25" style="1498" customWidth="1"/>
    <col min="7953" max="7953" width="12.7109375" style="1498" customWidth="1"/>
    <col min="7954" max="7954" width="16.42578125" style="1498" customWidth="1"/>
    <col min="7955" max="7955" width="23.5703125" style="1498" customWidth="1"/>
    <col min="7956" max="7956" width="33.7109375" style="1498" customWidth="1"/>
    <col min="7957" max="7957" width="31.140625" style="1498" customWidth="1"/>
    <col min="7958" max="7958" width="19.28515625" style="1498" customWidth="1"/>
    <col min="7959" max="7959" width="11.7109375" style="1498" customWidth="1"/>
    <col min="7960" max="7960" width="15.42578125" style="1498" customWidth="1"/>
    <col min="7961" max="7961" width="5.5703125" style="1498" customWidth="1"/>
    <col min="7962" max="7962" width="4.7109375" style="1498" customWidth="1"/>
    <col min="7963" max="7964" width="7.28515625" style="1498" customWidth="1"/>
    <col min="7965" max="7965" width="8.42578125" style="1498" customWidth="1"/>
    <col min="7966" max="7966" width="9.5703125" style="1498" customWidth="1"/>
    <col min="7967" max="7967" width="6.28515625" style="1498" customWidth="1"/>
    <col min="7968" max="7968" width="5.85546875" style="1498" customWidth="1"/>
    <col min="7969" max="7970" width="4.42578125" style="1498" customWidth="1"/>
    <col min="7971" max="7971" width="5" style="1498" customWidth="1"/>
    <col min="7972" max="7972" width="5.85546875" style="1498" customWidth="1"/>
    <col min="7973" max="7973" width="6.140625" style="1498" customWidth="1"/>
    <col min="7974" max="7974" width="6.28515625" style="1498" customWidth="1"/>
    <col min="7975" max="7975" width="4.85546875" style="1498" customWidth="1"/>
    <col min="7976" max="7976" width="8.140625" style="1498" customWidth="1"/>
    <col min="7977" max="7977" width="11.5703125" style="1498" customWidth="1"/>
    <col min="7978" max="7978" width="13.7109375" style="1498" customWidth="1"/>
    <col min="7979" max="7979" width="20.85546875" style="1498" customWidth="1"/>
    <col min="7980" max="8192" width="11.42578125" style="1498"/>
    <col min="8193" max="8193" width="13.140625" style="1498" customWidth="1"/>
    <col min="8194" max="8194" width="4" style="1498" customWidth="1"/>
    <col min="8195" max="8195" width="12.85546875" style="1498" customWidth="1"/>
    <col min="8196" max="8196" width="14.7109375" style="1498" customWidth="1"/>
    <col min="8197" max="8197" width="10" style="1498" customWidth="1"/>
    <col min="8198" max="8198" width="6.28515625" style="1498" customWidth="1"/>
    <col min="8199" max="8199" width="12.28515625" style="1498" customWidth="1"/>
    <col min="8200" max="8200" width="8.5703125" style="1498" customWidth="1"/>
    <col min="8201" max="8201" width="13.7109375" style="1498" customWidth="1"/>
    <col min="8202" max="8202" width="11.5703125" style="1498" customWidth="1"/>
    <col min="8203" max="8203" width="24.7109375" style="1498" customWidth="1"/>
    <col min="8204" max="8204" width="17.42578125" style="1498" customWidth="1"/>
    <col min="8205" max="8205" width="20.85546875" style="1498" customWidth="1"/>
    <col min="8206" max="8206" width="26.85546875" style="1498" customWidth="1"/>
    <col min="8207" max="8207" width="8" style="1498" customWidth="1"/>
    <col min="8208" max="8208" width="25" style="1498" customWidth="1"/>
    <col min="8209" max="8209" width="12.7109375" style="1498" customWidth="1"/>
    <col min="8210" max="8210" width="16.42578125" style="1498" customWidth="1"/>
    <col min="8211" max="8211" width="23.5703125" style="1498" customWidth="1"/>
    <col min="8212" max="8212" width="33.7109375" style="1498" customWidth="1"/>
    <col min="8213" max="8213" width="31.140625" style="1498" customWidth="1"/>
    <col min="8214" max="8214" width="19.28515625" style="1498" customWidth="1"/>
    <col min="8215" max="8215" width="11.7109375" style="1498" customWidth="1"/>
    <col min="8216" max="8216" width="15.42578125" style="1498" customWidth="1"/>
    <col min="8217" max="8217" width="5.5703125" style="1498" customWidth="1"/>
    <col min="8218" max="8218" width="4.7109375" style="1498" customWidth="1"/>
    <col min="8219" max="8220" width="7.28515625" style="1498" customWidth="1"/>
    <col min="8221" max="8221" width="8.42578125" style="1498" customWidth="1"/>
    <col min="8222" max="8222" width="9.5703125" style="1498" customWidth="1"/>
    <col min="8223" max="8223" width="6.28515625" style="1498" customWidth="1"/>
    <col min="8224" max="8224" width="5.85546875" style="1498" customWidth="1"/>
    <col min="8225" max="8226" width="4.42578125" style="1498" customWidth="1"/>
    <col min="8227" max="8227" width="5" style="1498" customWidth="1"/>
    <col min="8228" max="8228" width="5.85546875" style="1498" customWidth="1"/>
    <col min="8229" max="8229" width="6.140625" style="1498" customWidth="1"/>
    <col min="8230" max="8230" width="6.28515625" style="1498" customWidth="1"/>
    <col min="8231" max="8231" width="4.85546875" style="1498" customWidth="1"/>
    <col min="8232" max="8232" width="8.140625" style="1498" customWidth="1"/>
    <col min="8233" max="8233" width="11.5703125" style="1498" customWidth="1"/>
    <col min="8234" max="8234" width="13.7109375" style="1498" customWidth="1"/>
    <col min="8235" max="8235" width="20.85546875" style="1498" customWidth="1"/>
    <col min="8236" max="8448" width="11.42578125" style="1498"/>
    <col min="8449" max="8449" width="13.140625" style="1498" customWidth="1"/>
    <col min="8450" max="8450" width="4" style="1498" customWidth="1"/>
    <col min="8451" max="8451" width="12.85546875" style="1498" customWidth="1"/>
    <col min="8452" max="8452" width="14.7109375" style="1498" customWidth="1"/>
    <col min="8453" max="8453" width="10" style="1498" customWidth="1"/>
    <col min="8454" max="8454" width="6.28515625" style="1498" customWidth="1"/>
    <col min="8455" max="8455" width="12.28515625" style="1498" customWidth="1"/>
    <col min="8456" max="8456" width="8.5703125" style="1498" customWidth="1"/>
    <col min="8457" max="8457" width="13.7109375" style="1498" customWidth="1"/>
    <col min="8458" max="8458" width="11.5703125" style="1498" customWidth="1"/>
    <col min="8459" max="8459" width="24.7109375" style="1498" customWidth="1"/>
    <col min="8460" max="8460" width="17.42578125" style="1498" customWidth="1"/>
    <col min="8461" max="8461" width="20.85546875" style="1498" customWidth="1"/>
    <col min="8462" max="8462" width="26.85546875" style="1498" customWidth="1"/>
    <col min="8463" max="8463" width="8" style="1498" customWidth="1"/>
    <col min="8464" max="8464" width="25" style="1498" customWidth="1"/>
    <col min="8465" max="8465" width="12.7109375" style="1498" customWidth="1"/>
    <col min="8466" max="8466" width="16.42578125" style="1498" customWidth="1"/>
    <col min="8467" max="8467" width="23.5703125" style="1498" customWidth="1"/>
    <col min="8468" max="8468" width="33.7109375" style="1498" customWidth="1"/>
    <col min="8469" max="8469" width="31.140625" style="1498" customWidth="1"/>
    <col min="8470" max="8470" width="19.28515625" style="1498" customWidth="1"/>
    <col min="8471" max="8471" width="11.7109375" style="1498" customWidth="1"/>
    <col min="8472" max="8472" width="15.42578125" style="1498" customWidth="1"/>
    <col min="8473" max="8473" width="5.5703125" style="1498" customWidth="1"/>
    <col min="8474" max="8474" width="4.7109375" style="1498" customWidth="1"/>
    <col min="8475" max="8476" width="7.28515625" style="1498" customWidth="1"/>
    <col min="8477" max="8477" width="8.42578125" style="1498" customWidth="1"/>
    <col min="8478" max="8478" width="9.5703125" style="1498" customWidth="1"/>
    <col min="8479" max="8479" width="6.28515625" style="1498" customWidth="1"/>
    <col min="8480" max="8480" width="5.85546875" style="1498" customWidth="1"/>
    <col min="8481" max="8482" width="4.42578125" style="1498" customWidth="1"/>
    <col min="8483" max="8483" width="5" style="1498" customWidth="1"/>
    <col min="8484" max="8484" width="5.85546875" style="1498" customWidth="1"/>
    <col min="8485" max="8485" width="6.140625" style="1498" customWidth="1"/>
    <col min="8486" max="8486" width="6.28515625" style="1498" customWidth="1"/>
    <col min="8487" max="8487" width="4.85546875" style="1498" customWidth="1"/>
    <col min="8488" max="8488" width="8.140625" style="1498" customWidth="1"/>
    <col min="8489" max="8489" width="11.5703125" style="1498" customWidth="1"/>
    <col min="8490" max="8490" width="13.7109375" style="1498" customWidth="1"/>
    <col min="8491" max="8491" width="20.85546875" style="1498" customWidth="1"/>
    <col min="8492" max="8704" width="11.42578125" style="1498"/>
    <col min="8705" max="8705" width="13.140625" style="1498" customWidth="1"/>
    <col min="8706" max="8706" width="4" style="1498" customWidth="1"/>
    <col min="8707" max="8707" width="12.85546875" style="1498" customWidth="1"/>
    <col min="8708" max="8708" width="14.7109375" style="1498" customWidth="1"/>
    <col min="8709" max="8709" width="10" style="1498" customWidth="1"/>
    <col min="8710" max="8710" width="6.28515625" style="1498" customWidth="1"/>
    <col min="8711" max="8711" width="12.28515625" style="1498" customWidth="1"/>
    <col min="8712" max="8712" width="8.5703125" style="1498" customWidth="1"/>
    <col min="8713" max="8713" width="13.7109375" style="1498" customWidth="1"/>
    <col min="8714" max="8714" width="11.5703125" style="1498" customWidth="1"/>
    <col min="8715" max="8715" width="24.7109375" style="1498" customWidth="1"/>
    <col min="8716" max="8716" width="17.42578125" style="1498" customWidth="1"/>
    <col min="8717" max="8717" width="20.85546875" style="1498" customWidth="1"/>
    <col min="8718" max="8718" width="26.85546875" style="1498" customWidth="1"/>
    <col min="8719" max="8719" width="8" style="1498" customWidth="1"/>
    <col min="8720" max="8720" width="25" style="1498" customWidth="1"/>
    <col min="8721" max="8721" width="12.7109375" style="1498" customWidth="1"/>
    <col min="8722" max="8722" width="16.42578125" style="1498" customWidth="1"/>
    <col min="8723" max="8723" width="23.5703125" style="1498" customWidth="1"/>
    <col min="8724" max="8724" width="33.7109375" style="1498" customWidth="1"/>
    <col min="8725" max="8725" width="31.140625" style="1498" customWidth="1"/>
    <col min="8726" max="8726" width="19.28515625" style="1498" customWidth="1"/>
    <col min="8727" max="8727" width="11.7109375" style="1498" customWidth="1"/>
    <col min="8728" max="8728" width="15.42578125" style="1498" customWidth="1"/>
    <col min="8729" max="8729" width="5.5703125" style="1498" customWidth="1"/>
    <col min="8730" max="8730" width="4.7109375" style="1498" customWidth="1"/>
    <col min="8731" max="8732" width="7.28515625" style="1498" customWidth="1"/>
    <col min="8733" max="8733" width="8.42578125" style="1498" customWidth="1"/>
    <col min="8734" max="8734" width="9.5703125" style="1498" customWidth="1"/>
    <col min="8735" max="8735" width="6.28515625" style="1498" customWidth="1"/>
    <col min="8736" max="8736" width="5.85546875" style="1498" customWidth="1"/>
    <col min="8737" max="8738" width="4.42578125" style="1498" customWidth="1"/>
    <col min="8739" max="8739" width="5" style="1498" customWidth="1"/>
    <col min="8740" max="8740" width="5.85546875" style="1498" customWidth="1"/>
    <col min="8741" max="8741" width="6.140625" style="1498" customWidth="1"/>
    <col min="8742" max="8742" width="6.28515625" style="1498" customWidth="1"/>
    <col min="8743" max="8743" width="4.85546875" style="1498" customWidth="1"/>
    <col min="8744" max="8744" width="8.140625" style="1498" customWidth="1"/>
    <col min="8745" max="8745" width="11.5703125" style="1498" customWidth="1"/>
    <col min="8746" max="8746" width="13.7109375" style="1498" customWidth="1"/>
    <col min="8747" max="8747" width="20.85546875" style="1498" customWidth="1"/>
    <col min="8748" max="8960" width="11.42578125" style="1498"/>
    <col min="8961" max="8961" width="13.140625" style="1498" customWidth="1"/>
    <col min="8962" max="8962" width="4" style="1498" customWidth="1"/>
    <col min="8963" max="8963" width="12.85546875" style="1498" customWidth="1"/>
    <col min="8964" max="8964" width="14.7109375" style="1498" customWidth="1"/>
    <col min="8965" max="8965" width="10" style="1498" customWidth="1"/>
    <col min="8966" max="8966" width="6.28515625" style="1498" customWidth="1"/>
    <col min="8967" max="8967" width="12.28515625" style="1498" customWidth="1"/>
    <col min="8968" max="8968" width="8.5703125" style="1498" customWidth="1"/>
    <col min="8969" max="8969" width="13.7109375" style="1498" customWidth="1"/>
    <col min="8970" max="8970" width="11.5703125" style="1498" customWidth="1"/>
    <col min="8971" max="8971" width="24.7109375" style="1498" customWidth="1"/>
    <col min="8972" max="8972" width="17.42578125" style="1498" customWidth="1"/>
    <col min="8973" max="8973" width="20.85546875" style="1498" customWidth="1"/>
    <col min="8974" max="8974" width="26.85546875" style="1498" customWidth="1"/>
    <col min="8975" max="8975" width="8" style="1498" customWidth="1"/>
    <col min="8976" max="8976" width="25" style="1498" customWidth="1"/>
    <col min="8977" max="8977" width="12.7109375" style="1498" customWidth="1"/>
    <col min="8978" max="8978" width="16.42578125" style="1498" customWidth="1"/>
    <col min="8979" max="8979" width="23.5703125" style="1498" customWidth="1"/>
    <col min="8980" max="8980" width="33.7109375" style="1498" customWidth="1"/>
    <col min="8981" max="8981" width="31.140625" style="1498" customWidth="1"/>
    <col min="8982" max="8982" width="19.28515625" style="1498" customWidth="1"/>
    <col min="8983" max="8983" width="11.7109375" style="1498" customWidth="1"/>
    <col min="8984" max="8984" width="15.42578125" style="1498" customWidth="1"/>
    <col min="8985" max="8985" width="5.5703125" style="1498" customWidth="1"/>
    <col min="8986" max="8986" width="4.7109375" style="1498" customWidth="1"/>
    <col min="8987" max="8988" width="7.28515625" style="1498" customWidth="1"/>
    <col min="8989" max="8989" width="8.42578125" style="1498" customWidth="1"/>
    <col min="8990" max="8990" width="9.5703125" style="1498" customWidth="1"/>
    <col min="8991" max="8991" width="6.28515625" style="1498" customWidth="1"/>
    <col min="8992" max="8992" width="5.85546875" style="1498" customWidth="1"/>
    <col min="8993" max="8994" width="4.42578125" style="1498" customWidth="1"/>
    <col min="8995" max="8995" width="5" style="1498" customWidth="1"/>
    <col min="8996" max="8996" width="5.85546875" style="1498" customWidth="1"/>
    <col min="8997" max="8997" width="6.140625" style="1498" customWidth="1"/>
    <col min="8998" max="8998" width="6.28515625" style="1498" customWidth="1"/>
    <col min="8999" max="8999" width="4.85546875" style="1498" customWidth="1"/>
    <col min="9000" max="9000" width="8.140625" style="1498" customWidth="1"/>
    <col min="9001" max="9001" width="11.5703125" style="1498" customWidth="1"/>
    <col min="9002" max="9002" width="13.7109375" style="1498" customWidth="1"/>
    <col min="9003" max="9003" width="20.85546875" style="1498" customWidth="1"/>
    <col min="9004" max="9216" width="11.42578125" style="1498"/>
    <col min="9217" max="9217" width="13.140625" style="1498" customWidth="1"/>
    <col min="9218" max="9218" width="4" style="1498" customWidth="1"/>
    <col min="9219" max="9219" width="12.85546875" style="1498" customWidth="1"/>
    <col min="9220" max="9220" width="14.7109375" style="1498" customWidth="1"/>
    <col min="9221" max="9221" width="10" style="1498" customWidth="1"/>
    <col min="9222" max="9222" width="6.28515625" style="1498" customWidth="1"/>
    <col min="9223" max="9223" width="12.28515625" style="1498" customWidth="1"/>
    <col min="9224" max="9224" width="8.5703125" style="1498" customWidth="1"/>
    <col min="9225" max="9225" width="13.7109375" style="1498" customWidth="1"/>
    <col min="9226" max="9226" width="11.5703125" style="1498" customWidth="1"/>
    <col min="9227" max="9227" width="24.7109375" style="1498" customWidth="1"/>
    <col min="9228" max="9228" width="17.42578125" style="1498" customWidth="1"/>
    <col min="9229" max="9229" width="20.85546875" style="1498" customWidth="1"/>
    <col min="9230" max="9230" width="26.85546875" style="1498" customWidth="1"/>
    <col min="9231" max="9231" width="8" style="1498" customWidth="1"/>
    <col min="9232" max="9232" width="25" style="1498" customWidth="1"/>
    <col min="9233" max="9233" width="12.7109375" style="1498" customWidth="1"/>
    <col min="9234" max="9234" width="16.42578125" style="1498" customWidth="1"/>
    <col min="9235" max="9235" width="23.5703125" style="1498" customWidth="1"/>
    <col min="9236" max="9236" width="33.7109375" style="1498" customWidth="1"/>
    <col min="9237" max="9237" width="31.140625" style="1498" customWidth="1"/>
    <col min="9238" max="9238" width="19.28515625" style="1498" customWidth="1"/>
    <col min="9239" max="9239" width="11.7109375" style="1498" customWidth="1"/>
    <col min="9240" max="9240" width="15.42578125" style="1498" customWidth="1"/>
    <col min="9241" max="9241" width="5.5703125" style="1498" customWidth="1"/>
    <col min="9242" max="9242" width="4.7109375" style="1498" customWidth="1"/>
    <col min="9243" max="9244" width="7.28515625" style="1498" customWidth="1"/>
    <col min="9245" max="9245" width="8.42578125" style="1498" customWidth="1"/>
    <col min="9246" max="9246" width="9.5703125" style="1498" customWidth="1"/>
    <col min="9247" max="9247" width="6.28515625" style="1498" customWidth="1"/>
    <col min="9248" max="9248" width="5.85546875" style="1498" customWidth="1"/>
    <col min="9249" max="9250" width="4.42578125" style="1498" customWidth="1"/>
    <col min="9251" max="9251" width="5" style="1498" customWidth="1"/>
    <col min="9252" max="9252" width="5.85546875" style="1498" customWidth="1"/>
    <col min="9253" max="9253" width="6.140625" style="1498" customWidth="1"/>
    <col min="9254" max="9254" width="6.28515625" style="1498" customWidth="1"/>
    <col min="9255" max="9255" width="4.85546875" style="1498" customWidth="1"/>
    <col min="9256" max="9256" width="8.140625" style="1498" customWidth="1"/>
    <col min="9257" max="9257" width="11.5703125" style="1498" customWidth="1"/>
    <col min="9258" max="9258" width="13.7109375" style="1498" customWidth="1"/>
    <col min="9259" max="9259" width="20.85546875" style="1498" customWidth="1"/>
    <col min="9260" max="9472" width="11.42578125" style="1498"/>
    <col min="9473" max="9473" width="13.140625" style="1498" customWidth="1"/>
    <col min="9474" max="9474" width="4" style="1498" customWidth="1"/>
    <col min="9475" max="9475" width="12.85546875" style="1498" customWidth="1"/>
    <col min="9476" max="9476" width="14.7109375" style="1498" customWidth="1"/>
    <col min="9477" max="9477" width="10" style="1498" customWidth="1"/>
    <col min="9478" max="9478" width="6.28515625" style="1498" customWidth="1"/>
    <col min="9479" max="9479" width="12.28515625" style="1498" customWidth="1"/>
    <col min="9480" max="9480" width="8.5703125" style="1498" customWidth="1"/>
    <col min="9481" max="9481" width="13.7109375" style="1498" customWidth="1"/>
    <col min="9482" max="9482" width="11.5703125" style="1498" customWidth="1"/>
    <col min="9483" max="9483" width="24.7109375" style="1498" customWidth="1"/>
    <col min="9484" max="9484" width="17.42578125" style="1498" customWidth="1"/>
    <col min="9485" max="9485" width="20.85546875" style="1498" customWidth="1"/>
    <col min="9486" max="9486" width="26.85546875" style="1498" customWidth="1"/>
    <col min="9487" max="9487" width="8" style="1498" customWidth="1"/>
    <col min="9488" max="9488" width="25" style="1498" customWidth="1"/>
    <col min="9489" max="9489" width="12.7109375" style="1498" customWidth="1"/>
    <col min="9490" max="9490" width="16.42578125" style="1498" customWidth="1"/>
    <col min="9491" max="9491" width="23.5703125" style="1498" customWidth="1"/>
    <col min="9492" max="9492" width="33.7109375" style="1498" customWidth="1"/>
    <col min="9493" max="9493" width="31.140625" style="1498" customWidth="1"/>
    <col min="9494" max="9494" width="19.28515625" style="1498" customWidth="1"/>
    <col min="9495" max="9495" width="11.7109375" style="1498" customWidth="1"/>
    <col min="9496" max="9496" width="15.42578125" style="1498" customWidth="1"/>
    <col min="9497" max="9497" width="5.5703125" style="1498" customWidth="1"/>
    <col min="9498" max="9498" width="4.7109375" style="1498" customWidth="1"/>
    <col min="9499" max="9500" width="7.28515625" style="1498" customWidth="1"/>
    <col min="9501" max="9501" width="8.42578125" style="1498" customWidth="1"/>
    <col min="9502" max="9502" width="9.5703125" style="1498" customWidth="1"/>
    <col min="9503" max="9503" width="6.28515625" style="1498" customWidth="1"/>
    <col min="9504" max="9504" width="5.85546875" style="1498" customWidth="1"/>
    <col min="9505" max="9506" width="4.42578125" style="1498" customWidth="1"/>
    <col min="9507" max="9507" width="5" style="1498" customWidth="1"/>
    <col min="9508" max="9508" width="5.85546875" style="1498" customWidth="1"/>
    <col min="9509" max="9509" width="6.140625" style="1498" customWidth="1"/>
    <col min="9510" max="9510" width="6.28515625" style="1498" customWidth="1"/>
    <col min="9511" max="9511" width="4.85546875" style="1498" customWidth="1"/>
    <col min="9512" max="9512" width="8.140625" style="1498" customWidth="1"/>
    <col min="9513" max="9513" width="11.5703125" style="1498" customWidth="1"/>
    <col min="9514" max="9514" width="13.7109375" style="1498" customWidth="1"/>
    <col min="9515" max="9515" width="20.85546875" style="1498" customWidth="1"/>
    <col min="9516" max="9728" width="11.42578125" style="1498"/>
    <col min="9729" max="9729" width="13.140625" style="1498" customWidth="1"/>
    <col min="9730" max="9730" width="4" style="1498" customWidth="1"/>
    <col min="9731" max="9731" width="12.85546875" style="1498" customWidth="1"/>
    <col min="9732" max="9732" width="14.7109375" style="1498" customWidth="1"/>
    <col min="9733" max="9733" width="10" style="1498" customWidth="1"/>
    <col min="9734" max="9734" width="6.28515625" style="1498" customWidth="1"/>
    <col min="9735" max="9735" width="12.28515625" style="1498" customWidth="1"/>
    <col min="9736" max="9736" width="8.5703125" style="1498" customWidth="1"/>
    <col min="9737" max="9737" width="13.7109375" style="1498" customWidth="1"/>
    <col min="9738" max="9738" width="11.5703125" style="1498" customWidth="1"/>
    <col min="9739" max="9739" width="24.7109375" style="1498" customWidth="1"/>
    <col min="9740" max="9740" width="17.42578125" style="1498" customWidth="1"/>
    <col min="9741" max="9741" width="20.85546875" style="1498" customWidth="1"/>
    <col min="9742" max="9742" width="26.85546875" style="1498" customWidth="1"/>
    <col min="9743" max="9743" width="8" style="1498" customWidth="1"/>
    <col min="9744" max="9744" width="25" style="1498" customWidth="1"/>
    <col min="9745" max="9745" width="12.7109375" style="1498" customWidth="1"/>
    <col min="9746" max="9746" width="16.42578125" style="1498" customWidth="1"/>
    <col min="9747" max="9747" width="23.5703125" style="1498" customWidth="1"/>
    <col min="9748" max="9748" width="33.7109375" style="1498" customWidth="1"/>
    <col min="9749" max="9749" width="31.140625" style="1498" customWidth="1"/>
    <col min="9750" max="9750" width="19.28515625" style="1498" customWidth="1"/>
    <col min="9751" max="9751" width="11.7109375" style="1498" customWidth="1"/>
    <col min="9752" max="9752" width="15.42578125" style="1498" customWidth="1"/>
    <col min="9753" max="9753" width="5.5703125" style="1498" customWidth="1"/>
    <col min="9754" max="9754" width="4.7109375" style="1498" customWidth="1"/>
    <col min="9755" max="9756" width="7.28515625" style="1498" customWidth="1"/>
    <col min="9757" max="9757" width="8.42578125" style="1498" customWidth="1"/>
    <col min="9758" max="9758" width="9.5703125" style="1498" customWidth="1"/>
    <col min="9759" max="9759" width="6.28515625" style="1498" customWidth="1"/>
    <col min="9760" max="9760" width="5.85546875" style="1498" customWidth="1"/>
    <col min="9761" max="9762" width="4.42578125" style="1498" customWidth="1"/>
    <col min="9763" max="9763" width="5" style="1498" customWidth="1"/>
    <col min="9764" max="9764" width="5.85546875" style="1498" customWidth="1"/>
    <col min="9765" max="9765" width="6.140625" style="1498" customWidth="1"/>
    <col min="9766" max="9766" width="6.28515625" style="1498" customWidth="1"/>
    <col min="9767" max="9767" width="4.85546875" style="1498" customWidth="1"/>
    <col min="9768" max="9768" width="8.140625" style="1498" customWidth="1"/>
    <col min="9769" max="9769" width="11.5703125" style="1498" customWidth="1"/>
    <col min="9770" max="9770" width="13.7109375" style="1498" customWidth="1"/>
    <col min="9771" max="9771" width="20.85546875" style="1498" customWidth="1"/>
    <col min="9772" max="9984" width="11.42578125" style="1498"/>
    <col min="9985" max="9985" width="13.140625" style="1498" customWidth="1"/>
    <col min="9986" max="9986" width="4" style="1498" customWidth="1"/>
    <col min="9987" max="9987" width="12.85546875" style="1498" customWidth="1"/>
    <col min="9988" max="9988" width="14.7109375" style="1498" customWidth="1"/>
    <col min="9989" max="9989" width="10" style="1498" customWidth="1"/>
    <col min="9990" max="9990" width="6.28515625" style="1498" customWidth="1"/>
    <col min="9991" max="9991" width="12.28515625" style="1498" customWidth="1"/>
    <col min="9992" max="9992" width="8.5703125" style="1498" customWidth="1"/>
    <col min="9993" max="9993" width="13.7109375" style="1498" customWidth="1"/>
    <col min="9994" max="9994" width="11.5703125" style="1498" customWidth="1"/>
    <col min="9995" max="9995" width="24.7109375" style="1498" customWidth="1"/>
    <col min="9996" max="9996" width="17.42578125" style="1498" customWidth="1"/>
    <col min="9997" max="9997" width="20.85546875" style="1498" customWidth="1"/>
    <col min="9998" max="9998" width="26.85546875" style="1498" customWidth="1"/>
    <col min="9999" max="9999" width="8" style="1498" customWidth="1"/>
    <col min="10000" max="10000" width="25" style="1498" customWidth="1"/>
    <col min="10001" max="10001" width="12.7109375" style="1498" customWidth="1"/>
    <col min="10002" max="10002" width="16.42578125" style="1498" customWidth="1"/>
    <col min="10003" max="10003" width="23.5703125" style="1498" customWidth="1"/>
    <col min="10004" max="10004" width="33.7109375" style="1498" customWidth="1"/>
    <col min="10005" max="10005" width="31.140625" style="1498" customWidth="1"/>
    <col min="10006" max="10006" width="19.28515625" style="1498" customWidth="1"/>
    <col min="10007" max="10007" width="11.7109375" style="1498" customWidth="1"/>
    <col min="10008" max="10008" width="15.42578125" style="1498" customWidth="1"/>
    <col min="10009" max="10009" width="5.5703125" style="1498" customWidth="1"/>
    <col min="10010" max="10010" width="4.7109375" style="1498" customWidth="1"/>
    <col min="10011" max="10012" width="7.28515625" style="1498" customWidth="1"/>
    <col min="10013" max="10013" width="8.42578125" style="1498" customWidth="1"/>
    <col min="10014" max="10014" width="9.5703125" style="1498" customWidth="1"/>
    <col min="10015" max="10015" width="6.28515625" style="1498" customWidth="1"/>
    <col min="10016" max="10016" width="5.85546875" style="1498" customWidth="1"/>
    <col min="10017" max="10018" width="4.42578125" style="1498" customWidth="1"/>
    <col min="10019" max="10019" width="5" style="1498" customWidth="1"/>
    <col min="10020" max="10020" width="5.85546875" style="1498" customWidth="1"/>
    <col min="10021" max="10021" width="6.140625" style="1498" customWidth="1"/>
    <col min="10022" max="10022" width="6.28515625" style="1498" customWidth="1"/>
    <col min="10023" max="10023" width="4.85546875" style="1498" customWidth="1"/>
    <col min="10024" max="10024" width="8.140625" style="1498" customWidth="1"/>
    <col min="10025" max="10025" width="11.5703125" style="1498" customWidth="1"/>
    <col min="10026" max="10026" width="13.7109375" style="1498" customWidth="1"/>
    <col min="10027" max="10027" width="20.85546875" style="1498" customWidth="1"/>
    <col min="10028" max="10240" width="11.42578125" style="1498"/>
    <col min="10241" max="10241" width="13.140625" style="1498" customWidth="1"/>
    <col min="10242" max="10242" width="4" style="1498" customWidth="1"/>
    <col min="10243" max="10243" width="12.85546875" style="1498" customWidth="1"/>
    <col min="10244" max="10244" width="14.7109375" style="1498" customWidth="1"/>
    <col min="10245" max="10245" width="10" style="1498" customWidth="1"/>
    <col min="10246" max="10246" width="6.28515625" style="1498" customWidth="1"/>
    <col min="10247" max="10247" width="12.28515625" style="1498" customWidth="1"/>
    <col min="10248" max="10248" width="8.5703125" style="1498" customWidth="1"/>
    <col min="10249" max="10249" width="13.7109375" style="1498" customWidth="1"/>
    <col min="10250" max="10250" width="11.5703125" style="1498" customWidth="1"/>
    <col min="10251" max="10251" width="24.7109375" style="1498" customWidth="1"/>
    <col min="10252" max="10252" width="17.42578125" style="1498" customWidth="1"/>
    <col min="10253" max="10253" width="20.85546875" style="1498" customWidth="1"/>
    <col min="10254" max="10254" width="26.85546875" style="1498" customWidth="1"/>
    <col min="10255" max="10255" width="8" style="1498" customWidth="1"/>
    <col min="10256" max="10256" width="25" style="1498" customWidth="1"/>
    <col min="10257" max="10257" width="12.7109375" style="1498" customWidth="1"/>
    <col min="10258" max="10258" width="16.42578125" style="1498" customWidth="1"/>
    <col min="10259" max="10259" width="23.5703125" style="1498" customWidth="1"/>
    <col min="10260" max="10260" width="33.7109375" style="1498" customWidth="1"/>
    <col min="10261" max="10261" width="31.140625" style="1498" customWidth="1"/>
    <col min="10262" max="10262" width="19.28515625" style="1498" customWidth="1"/>
    <col min="10263" max="10263" width="11.7109375" style="1498" customWidth="1"/>
    <col min="10264" max="10264" width="15.42578125" style="1498" customWidth="1"/>
    <col min="10265" max="10265" width="5.5703125" style="1498" customWidth="1"/>
    <col min="10266" max="10266" width="4.7109375" style="1498" customWidth="1"/>
    <col min="10267" max="10268" width="7.28515625" style="1498" customWidth="1"/>
    <col min="10269" max="10269" width="8.42578125" style="1498" customWidth="1"/>
    <col min="10270" max="10270" width="9.5703125" style="1498" customWidth="1"/>
    <col min="10271" max="10271" width="6.28515625" style="1498" customWidth="1"/>
    <col min="10272" max="10272" width="5.85546875" style="1498" customWidth="1"/>
    <col min="10273" max="10274" width="4.42578125" style="1498" customWidth="1"/>
    <col min="10275" max="10275" width="5" style="1498" customWidth="1"/>
    <col min="10276" max="10276" width="5.85546875" style="1498" customWidth="1"/>
    <col min="10277" max="10277" width="6.140625" style="1498" customWidth="1"/>
    <col min="10278" max="10278" width="6.28515625" style="1498" customWidth="1"/>
    <col min="10279" max="10279" width="4.85546875" style="1498" customWidth="1"/>
    <col min="10280" max="10280" width="8.140625" style="1498" customWidth="1"/>
    <col min="10281" max="10281" width="11.5703125" style="1498" customWidth="1"/>
    <col min="10282" max="10282" width="13.7109375" style="1498" customWidth="1"/>
    <col min="10283" max="10283" width="20.85546875" style="1498" customWidth="1"/>
    <col min="10284" max="10496" width="11.42578125" style="1498"/>
    <col min="10497" max="10497" width="13.140625" style="1498" customWidth="1"/>
    <col min="10498" max="10498" width="4" style="1498" customWidth="1"/>
    <col min="10499" max="10499" width="12.85546875" style="1498" customWidth="1"/>
    <col min="10500" max="10500" width="14.7109375" style="1498" customWidth="1"/>
    <col min="10501" max="10501" width="10" style="1498" customWidth="1"/>
    <col min="10502" max="10502" width="6.28515625" style="1498" customWidth="1"/>
    <col min="10503" max="10503" width="12.28515625" style="1498" customWidth="1"/>
    <col min="10504" max="10504" width="8.5703125" style="1498" customWidth="1"/>
    <col min="10505" max="10505" width="13.7109375" style="1498" customWidth="1"/>
    <col min="10506" max="10506" width="11.5703125" style="1498" customWidth="1"/>
    <col min="10507" max="10507" width="24.7109375" style="1498" customWidth="1"/>
    <col min="10508" max="10508" width="17.42578125" style="1498" customWidth="1"/>
    <col min="10509" max="10509" width="20.85546875" style="1498" customWidth="1"/>
    <col min="10510" max="10510" width="26.85546875" style="1498" customWidth="1"/>
    <col min="10511" max="10511" width="8" style="1498" customWidth="1"/>
    <col min="10512" max="10512" width="25" style="1498" customWidth="1"/>
    <col min="10513" max="10513" width="12.7109375" style="1498" customWidth="1"/>
    <col min="10514" max="10514" width="16.42578125" style="1498" customWidth="1"/>
    <col min="10515" max="10515" width="23.5703125" style="1498" customWidth="1"/>
    <col min="10516" max="10516" width="33.7109375" style="1498" customWidth="1"/>
    <col min="10517" max="10517" width="31.140625" style="1498" customWidth="1"/>
    <col min="10518" max="10518" width="19.28515625" style="1498" customWidth="1"/>
    <col min="10519" max="10519" width="11.7109375" style="1498" customWidth="1"/>
    <col min="10520" max="10520" width="15.42578125" style="1498" customWidth="1"/>
    <col min="10521" max="10521" width="5.5703125" style="1498" customWidth="1"/>
    <col min="10522" max="10522" width="4.7109375" style="1498" customWidth="1"/>
    <col min="10523" max="10524" width="7.28515625" style="1498" customWidth="1"/>
    <col min="10525" max="10525" width="8.42578125" style="1498" customWidth="1"/>
    <col min="10526" max="10526" width="9.5703125" style="1498" customWidth="1"/>
    <col min="10527" max="10527" width="6.28515625" style="1498" customWidth="1"/>
    <col min="10528" max="10528" width="5.85546875" style="1498" customWidth="1"/>
    <col min="10529" max="10530" width="4.42578125" style="1498" customWidth="1"/>
    <col min="10531" max="10531" width="5" style="1498" customWidth="1"/>
    <col min="10532" max="10532" width="5.85546875" style="1498" customWidth="1"/>
    <col min="10533" max="10533" width="6.140625" style="1498" customWidth="1"/>
    <col min="10534" max="10534" width="6.28515625" style="1498" customWidth="1"/>
    <col min="10535" max="10535" width="4.85546875" style="1498" customWidth="1"/>
    <col min="10536" max="10536" width="8.140625" style="1498" customWidth="1"/>
    <col min="10537" max="10537" width="11.5703125" style="1498" customWidth="1"/>
    <col min="10538" max="10538" width="13.7109375" style="1498" customWidth="1"/>
    <col min="10539" max="10539" width="20.85546875" style="1498" customWidth="1"/>
    <col min="10540" max="10752" width="11.42578125" style="1498"/>
    <col min="10753" max="10753" width="13.140625" style="1498" customWidth="1"/>
    <col min="10754" max="10754" width="4" style="1498" customWidth="1"/>
    <col min="10755" max="10755" width="12.85546875" style="1498" customWidth="1"/>
    <col min="10756" max="10756" width="14.7109375" style="1498" customWidth="1"/>
    <col min="10757" max="10757" width="10" style="1498" customWidth="1"/>
    <col min="10758" max="10758" width="6.28515625" style="1498" customWidth="1"/>
    <col min="10759" max="10759" width="12.28515625" style="1498" customWidth="1"/>
    <col min="10760" max="10760" width="8.5703125" style="1498" customWidth="1"/>
    <col min="10761" max="10761" width="13.7109375" style="1498" customWidth="1"/>
    <col min="10762" max="10762" width="11.5703125" style="1498" customWidth="1"/>
    <col min="10763" max="10763" width="24.7109375" style="1498" customWidth="1"/>
    <col min="10764" max="10764" width="17.42578125" style="1498" customWidth="1"/>
    <col min="10765" max="10765" width="20.85546875" style="1498" customWidth="1"/>
    <col min="10766" max="10766" width="26.85546875" style="1498" customWidth="1"/>
    <col min="10767" max="10767" width="8" style="1498" customWidth="1"/>
    <col min="10768" max="10768" width="25" style="1498" customWidth="1"/>
    <col min="10769" max="10769" width="12.7109375" style="1498" customWidth="1"/>
    <col min="10770" max="10770" width="16.42578125" style="1498" customWidth="1"/>
    <col min="10771" max="10771" width="23.5703125" style="1498" customWidth="1"/>
    <col min="10772" max="10772" width="33.7109375" style="1498" customWidth="1"/>
    <col min="10773" max="10773" width="31.140625" style="1498" customWidth="1"/>
    <col min="10774" max="10774" width="19.28515625" style="1498" customWidth="1"/>
    <col min="10775" max="10775" width="11.7109375" style="1498" customWidth="1"/>
    <col min="10776" max="10776" width="15.42578125" style="1498" customWidth="1"/>
    <col min="10777" max="10777" width="5.5703125" style="1498" customWidth="1"/>
    <col min="10778" max="10778" width="4.7109375" style="1498" customWidth="1"/>
    <col min="10779" max="10780" width="7.28515625" style="1498" customWidth="1"/>
    <col min="10781" max="10781" width="8.42578125" style="1498" customWidth="1"/>
    <col min="10782" max="10782" width="9.5703125" style="1498" customWidth="1"/>
    <col min="10783" max="10783" width="6.28515625" style="1498" customWidth="1"/>
    <col min="10784" max="10784" width="5.85546875" style="1498" customWidth="1"/>
    <col min="10785" max="10786" width="4.42578125" style="1498" customWidth="1"/>
    <col min="10787" max="10787" width="5" style="1498" customWidth="1"/>
    <col min="10788" max="10788" width="5.85546875" style="1498" customWidth="1"/>
    <col min="10789" max="10789" width="6.140625" style="1498" customWidth="1"/>
    <col min="10790" max="10790" width="6.28515625" style="1498" customWidth="1"/>
    <col min="10791" max="10791" width="4.85546875" style="1498" customWidth="1"/>
    <col min="10792" max="10792" width="8.140625" style="1498" customWidth="1"/>
    <col min="10793" max="10793" width="11.5703125" style="1498" customWidth="1"/>
    <col min="10794" max="10794" width="13.7109375" style="1498" customWidth="1"/>
    <col min="10795" max="10795" width="20.85546875" style="1498" customWidth="1"/>
    <col min="10796" max="11008" width="11.42578125" style="1498"/>
    <col min="11009" max="11009" width="13.140625" style="1498" customWidth="1"/>
    <col min="11010" max="11010" width="4" style="1498" customWidth="1"/>
    <col min="11011" max="11011" width="12.85546875" style="1498" customWidth="1"/>
    <col min="11012" max="11012" width="14.7109375" style="1498" customWidth="1"/>
    <col min="11013" max="11013" width="10" style="1498" customWidth="1"/>
    <col min="11014" max="11014" width="6.28515625" style="1498" customWidth="1"/>
    <col min="11015" max="11015" width="12.28515625" style="1498" customWidth="1"/>
    <col min="11016" max="11016" width="8.5703125" style="1498" customWidth="1"/>
    <col min="11017" max="11017" width="13.7109375" style="1498" customWidth="1"/>
    <col min="11018" max="11018" width="11.5703125" style="1498" customWidth="1"/>
    <col min="11019" max="11019" width="24.7109375" style="1498" customWidth="1"/>
    <col min="11020" max="11020" width="17.42578125" style="1498" customWidth="1"/>
    <col min="11021" max="11021" width="20.85546875" style="1498" customWidth="1"/>
    <col min="11022" max="11022" width="26.85546875" style="1498" customWidth="1"/>
    <col min="11023" max="11023" width="8" style="1498" customWidth="1"/>
    <col min="11024" max="11024" width="25" style="1498" customWidth="1"/>
    <col min="11025" max="11025" width="12.7109375" style="1498" customWidth="1"/>
    <col min="11026" max="11026" width="16.42578125" style="1498" customWidth="1"/>
    <col min="11027" max="11027" width="23.5703125" style="1498" customWidth="1"/>
    <col min="11028" max="11028" width="33.7109375" style="1498" customWidth="1"/>
    <col min="11029" max="11029" width="31.140625" style="1498" customWidth="1"/>
    <col min="11030" max="11030" width="19.28515625" style="1498" customWidth="1"/>
    <col min="11031" max="11031" width="11.7109375" style="1498" customWidth="1"/>
    <col min="11032" max="11032" width="15.42578125" style="1498" customWidth="1"/>
    <col min="11033" max="11033" width="5.5703125" style="1498" customWidth="1"/>
    <col min="11034" max="11034" width="4.7109375" style="1498" customWidth="1"/>
    <col min="11035" max="11036" width="7.28515625" style="1498" customWidth="1"/>
    <col min="11037" max="11037" width="8.42578125" style="1498" customWidth="1"/>
    <col min="11038" max="11038" width="9.5703125" style="1498" customWidth="1"/>
    <col min="11039" max="11039" width="6.28515625" style="1498" customWidth="1"/>
    <col min="11040" max="11040" width="5.85546875" style="1498" customWidth="1"/>
    <col min="11041" max="11042" width="4.42578125" style="1498" customWidth="1"/>
    <col min="11043" max="11043" width="5" style="1498" customWidth="1"/>
    <col min="11044" max="11044" width="5.85546875" style="1498" customWidth="1"/>
    <col min="11045" max="11045" width="6.140625" style="1498" customWidth="1"/>
    <col min="11046" max="11046" width="6.28515625" style="1498" customWidth="1"/>
    <col min="11047" max="11047" width="4.85546875" style="1498" customWidth="1"/>
    <col min="11048" max="11048" width="8.140625" style="1498" customWidth="1"/>
    <col min="11049" max="11049" width="11.5703125" style="1498" customWidth="1"/>
    <col min="11050" max="11050" width="13.7109375" style="1498" customWidth="1"/>
    <col min="11051" max="11051" width="20.85546875" style="1498" customWidth="1"/>
    <col min="11052" max="11264" width="11.42578125" style="1498"/>
    <col min="11265" max="11265" width="13.140625" style="1498" customWidth="1"/>
    <col min="11266" max="11266" width="4" style="1498" customWidth="1"/>
    <col min="11267" max="11267" width="12.85546875" style="1498" customWidth="1"/>
    <col min="11268" max="11268" width="14.7109375" style="1498" customWidth="1"/>
    <col min="11269" max="11269" width="10" style="1498" customWidth="1"/>
    <col min="11270" max="11270" width="6.28515625" style="1498" customWidth="1"/>
    <col min="11271" max="11271" width="12.28515625" style="1498" customWidth="1"/>
    <col min="11272" max="11272" width="8.5703125" style="1498" customWidth="1"/>
    <col min="11273" max="11273" width="13.7109375" style="1498" customWidth="1"/>
    <col min="11274" max="11274" width="11.5703125" style="1498" customWidth="1"/>
    <col min="11275" max="11275" width="24.7109375" style="1498" customWidth="1"/>
    <col min="11276" max="11276" width="17.42578125" style="1498" customWidth="1"/>
    <col min="11277" max="11277" width="20.85546875" style="1498" customWidth="1"/>
    <col min="11278" max="11278" width="26.85546875" style="1498" customWidth="1"/>
    <col min="11279" max="11279" width="8" style="1498" customWidth="1"/>
    <col min="11280" max="11280" width="25" style="1498" customWidth="1"/>
    <col min="11281" max="11281" width="12.7109375" style="1498" customWidth="1"/>
    <col min="11282" max="11282" width="16.42578125" style="1498" customWidth="1"/>
    <col min="11283" max="11283" width="23.5703125" style="1498" customWidth="1"/>
    <col min="11284" max="11284" width="33.7109375" style="1498" customWidth="1"/>
    <col min="11285" max="11285" width="31.140625" style="1498" customWidth="1"/>
    <col min="11286" max="11286" width="19.28515625" style="1498" customWidth="1"/>
    <col min="11287" max="11287" width="11.7109375" style="1498" customWidth="1"/>
    <col min="11288" max="11288" width="15.42578125" style="1498" customWidth="1"/>
    <col min="11289" max="11289" width="5.5703125" style="1498" customWidth="1"/>
    <col min="11290" max="11290" width="4.7109375" style="1498" customWidth="1"/>
    <col min="11291" max="11292" width="7.28515625" style="1498" customWidth="1"/>
    <col min="11293" max="11293" width="8.42578125" style="1498" customWidth="1"/>
    <col min="11294" max="11294" width="9.5703125" style="1498" customWidth="1"/>
    <col min="11295" max="11295" width="6.28515625" style="1498" customWidth="1"/>
    <col min="11296" max="11296" width="5.85546875" style="1498" customWidth="1"/>
    <col min="11297" max="11298" width="4.42578125" style="1498" customWidth="1"/>
    <col min="11299" max="11299" width="5" style="1498" customWidth="1"/>
    <col min="11300" max="11300" width="5.85546875" style="1498" customWidth="1"/>
    <col min="11301" max="11301" width="6.140625" style="1498" customWidth="1"/>
    <col min="11302" max="11302" width="6.28515625" style="1498" customWidth="1"/>
    <col min="11303" max="11303" width="4.85546875" style="1498" customWidth="1"/>
    <col min="11304" max="11304" width="8.140625" style="1498" customWidth="1"/>
    <col min="11305" max="11305" width="11.5703125" style="1498" customWidth="1"/>
    <col min="11306" max="11306" width="13.7109375" style="1498" customWidth="1"/>
    <col min="11307" max="11307" width="20.85546875" style="1498" customWidth="1"/>
    <col min="11308" max="11520" width="11.42578125" style="1498"/>
    <col min="11521" max="11521" width="13.140625" style="1498" customWidth="1"/>
    <col min="11522" max="11522" width="4" style="1498" customWidth="1"/>
    <col min="11523" max="11523" width="12.85546875" style="1498" customWidth="1"/>
    <col min="11524" max="11524" width="14.7109375" style="1498" customWidth="1"/>
    <col min="11525" max="11525" width="10" style="1498" customWidth="1"/>
    <col min="11526" max="11526" width="6.28515625" style="1498" customWidth="1"/>
    <col min="11527" max="11527" width="12.28515625" style="1498" customWidth="1"/>
    <col min="11528" max="11528" width="8.5703125" style="1498" customWidth="1"/>
    <col min="11529" max="11529" width="13.7109375" style="1498" customWidth="1"/>
    <col min="11530" max="11530" width="11.5703125" style="1498" customWidth="1"/>
    <col min="11531" max="11531" width="24.7109375" style="1498" customWidth="1"/>
    <col min="11532" max="11532" width="17.42578125" style="1498" customWidth="1"/>
    <col min="11533" max="11533" width="20.85546875" style="1498" customWidth="1"/>
    <col min="11534" max="11534" width="26.85546875" style="1498" customWidth="1"/>
    <col min="11535" max="11535" width="8" style="1498" customWidth="1"/>
    <col min="11536" max="11536" width="25" style="1498" customWidth="1"/>
    <col min="11537" max="11537" width="12.7109375" style="1498" customWidth="1"/>
    <col min="11538" max="11538" width="16.42578125" style="1498" customWidth="1"/>
    <col min="11539" max="11539" width="23.5703125" style="1498" customWidth="1"/>
    <col min="11540" max="11540" width="33.7109375" style="1498" customWidth="1"/>
    <col min="11541" max="11541" width="31.140625" style="1498" customWidth="1"/>
    <col min="11542" max="11542" width="19.28515625" style="1498" customWidth="1"/>
    <col min="11543" max="11543" width="11.7109375" style="1498" customWidth="1"/>
    <col min="11544" max="11544" width="15.42578125" style="1498" customWidth="1"/>
    <col min="11545" max="11545" width="5.5703125" style="1498" customWidth="1"/>
    <col min="11546" max="11546" width="4.7109375" style="1498" customWidth="1"/>
    <col min="11547" max="11548" width="7.28515625" style="1498" customWidth="1"/>
    <col min="11549" max="11549" width="8.42578125" style="1498" customWidth="1"/>
    <col min="11550" max="11550" width="9.5703125" style="1498" customWidth="1"/>
    <col min="11551" max="11551" width="6.28515625" style="1498" customWidth="1"/>
    <col min="11552" max="11552" width="5.85546875" style="1498" customWidth="1"/>
    <col min="11553" max="11554" width="4.42578125" style="1498" customWidth="1"/>
    <col min="11555" max="11555" width="5" style="1498" customWidth="1"/>
    <col min="11556" max="11556" width="5.85546875" style="1498" customWidth="1"/>
    <col min="11557" max="11557" width="6.140625" style="1498" customWidth="1"/>
    <col min="11558" max="11558" width="6.28515625" style="1498" customWidth="1"/>
    <col min="11559" max="11559" width="4.85546875" style="1498" customWidth="1"/>
    <col min="11560" max="11560" width="8.140625" style="1498" customWidth="1"/>
    <col min="11561" max="11561" width="11.5703125" style="1498" customWidth="1"/>
    <col min="11562" max="11562" width="13.7109375" style="1498" customWidth="1"/>
    <col min="11563" max="11563" width="20.85546875" style="1498" customWidth="1"/>
    <col min="11564" max="11776" width="11.42578125" style="1498"/>
    <col min="11777" max="11777" width="13.140625" style="1498" customWidth="1"/>
    <col min="11778" max="11778" width="4" style="1498" customWidth="1"/>
    <col min="11779" max="11779" width="12.85546875" style="1498" customWidth="1"/>
    <col min="11780" max="11780" width="14.7109375" style="1498" customWidth="1"/>
    <col min="11781" max="11781" width="10" style="1498" customWidth="1"/>
    <col min="11782" max="11782" width="6.28515625" style="1498" customWidth="1"/>
    <col min="11783" max="11783" width="12.28515625" style="1498" customWidth="1"/>
    <col min="11784" max="11784" width="8.5703125" style="1498" customWidth="1"/>
    <col min="11785" max="11785" width="13.7109375" style="1498" customWidth="1"/>
    <col min="11786" max="11786" width="11.5703125" style="1498" customWidth="1"/>
    <col min="11787" max="11787" width="24.7109375" style="1498" customWidth="1"/>
    <col min="11788" max="11788" width="17.42578125" style="1498" customWidth="1"/>
    <col min="11789" max="11789" width="20.85546875" style="1498" customWidth="1"/>
    <col min="11790" max="11790" width="26.85546875" style="1498" customWidth="1"/>
    <col min="11791" max="11791" width="8" style="1498" customWidth="1"/>
    <col min="11792" max="11792" width="25" style="1498" customWidth="1"/>
    <col min="11793" max="11793" width="12.7109375" style="1498" customWidth="1"/>
    <col min="11794" max="11794" width="16.42578125" style="1498" customWidth="1"/>
    <col min="11795" max="11795" width="23.5703125" style="1498" customWidth="1"/>
    <col min="11796" max="11796" width="33.7109375" style="1498" customWidth="1"/>
    <col min="11797" max="11797" width="31.140625" style="1498" customWidth="1"/>
    <col min="11798" max="11798" width="19.28515625" style="1498" customWidth="1"/>
    <col min="11799" max="11799" width="11.7109375" style="1498" customWidth="1"/>
    <col min="11800" max="11800" width="15.42578125" style="1498" customWidth="1"/>
    <col min="11801" max="11801" width="5.5703125" style="1498" customWidth="1"/>
    <col min="11802" max="11802" width="4.7109375" style="1498" customWidth="1"/>
    <col min="11803" max="11804" width="7.28515625" style="1498" customWidth="1"/>
    <col min="11805" max="11805" width="8.42578125" style="1498" customWidth="1"/>
    <col min="11806" max="11806" width="9.5703125" style="1498" customWidth="1"/>
    <col min="11807" max="11807" width="6.28515625" style="1498" customWidth="1"/>
    <col min="11808" max="11808" width="5.85546875" style="1498" customWidth="1"/>
    <col min="11809" max="11810" width="4.42578125" style="1498" customWidth="1"/>
    <col min="11811" max="11811" width="5" style="1498" customWidth="1"/>
    <col min="11812" max="11812" width="5.85546875" style="1498" customWidth="1"/>
    <col min="11813" max="11813" width="6.140625" style="1498" customWidth="1"/>
    <col min="11814" max="11814" width="6.28515625" style="1498" customWidth="1"/>
    <col min="11815" max="11815" width="4.85546875" style="1498" customWidth="1"/>
    <col min="11816" max="11816" width="8.140625" style="1498" customWidth="1"/>
    <col min="11817" max="11817" width="11.5703125" style="1498" customWidth="1"/>
    <col min="11818" max="11818" width="13.7109375" style="1498" customWidth="1"/>
    <col min="11819" max="11819" width="20.85546875" style="1498" customWidth="1"/>
    <col min="11820" max="12032" width="11.42578125" style="1498"/>
    <col min="12033" max="12033" width="13.140625" style="1498" customWidth="1"/>
    <col min="12034" max="12034" width="4" style="1498" customWidth="1"/>
    <col min="12035" max="12035" width="12.85546875" style="1498" customWidth="1"/>
    <col min="12036" max="12036" width="14.7109375" style="1498" customWidth="1"/>
    <col min="12037" max="12037" width="10" style="1498" customWidth="1"/>
    <col min="12038" max="12038" width="6.28515625" style="1498" customWidth="1"/>
    <col min="12039" max="12039" width="12.28515625" style="1498" customWidth="1"/>
    <col min="12040" max="12040" width="8.5703125" style="1498" customWidth="1"/>
    <col min="12041" max="12041" width="13.7109375" style="1498" customWidth="1"/>
    <col min="12042" max="12042" width="11.5703125" style="1498" customWidth="1"/>
    <col min="12043" max="12043" width="24.7109375" style="1498" customWidth="1"/>
    <col min="12044" max="12044" width="17.42578125" style="1498" customWidth="1"/>
    <col min="12045" max="12045" width="20.85546875" style="1498" customWidth="1"/>
    <col min="12046" max="12046" width="26.85546875" style="1498" customWidth="1"/>
    <col min="12047" max="12047" width="8" style="1498" customWidth="1"/>
    <col min="12048" max="12048" width="25" style="1498" customWidth="1"/>
    <col min="12049" max="12049" width="12.7109375" style="1498" customWidth="1"/>
    <col min="12050" max="12050" width="16.42578125" style="1498" customWidth="1"/>
    <col min="12051" max="12051" width="23.5703125" style="1498" customWidth="1"/>
    <col min="12052" max="12052" width="33.7109375" style="1498" customWidth="1"/>
    <col min="12053" max="12053" width="31.140625" style="1498" customWidth="1"/>
    <col min="12054" max="12054" width="19.28515625" style="1498" customWidth="1"/>
    <col min="12055" max="12055" width="11.7109375" style="1498" customWidth="1"/>
    <col min="12056" max="12056" width="15.42578125" style="1498" customWidth="1"/>
    <col min="12057" max="12057" width="5.5703125" style="1498" customWidth="1"/>
    <col min="12058" max="12058" width="4.7109375" style="1498" customWidth="1"/>
    <col min="12059" max="12060" width="7.28515625" style="1498" customWidth="1"/>
    <col min="12061" max="12061" width="8.42578125" style="1498" customWidth="1"/>
    <col min="12062" max="12062" width="9.5703125" style="1498" customWidth="1"/>
    <col min="12063" max="12063" width="6.28515625" style="1498" customWidth="1"/>
    <col min="12064" max="12064" width="5.85546875" style="1498" customWidth="1"/>
    <col min="12065" max="12066" width="4.42578125" style="1498" customWidth="1"/>
    <col min="12067" max="12067" width="5" style="1498" customWidth="1"/>
    <col min="12068" max="12068" width="5.85546875" style="1498" customWidth="1"/>
    <col min="12069" max="12069" width="6.140625" style="1498" customWidth="1"/>
    <col min="12070" max="12070" width="6.28515625" style="1498" customWidth="1"/>
    <col min="12071" max="12071" width="4.85546875" style="1498" customWidth="1"/>
    <col min="12072" max="12072" width="8.140625" style="1498" customWidth="1"/>
    <col min="12073" max="12073" width="11.5703125" style="1498" customWidth="1"/>
    <col min="12074" max="12074" width="13.7109375" style="1498" customWidth="1"/>
    <col min="12075" max="12075" width="20.85546875" style="1498" customWidth="1"/>
    <col min="12076" max="12288" width="11.42578125" style="1498"/>
    <col min="12289" max="12289" width="13.140625" style="1498" customWidth="1"/>
    <col min="12290" max="12290" width="4" style="1498" customWidth="1"/>
    <col min="12291" max="12291" width="12.85546875" style="1498" customWidth="1"/>
    <col min="12292" max="12292" width="14.7109375" style="1498" customWidth="1"/>
    <col min="12293" max="12293" width="10" style="1498" customWidth="1"/>
    <col min="12294" max="12294" width="6.28515625" style="1498" customWidth="1"/>
    <col min="12295" max="12295" width="12.28515625" style="1498" customWidth="1"/>
    <col min="12296" max="12296" width="8.5703125" style="1498" customWidth="1"/>
    <col min="12297" max="12297" width="13.7109375" style="1498" customWidth="1"/>
    <col min="12298" max="12298" width="11.5703125" style="1498" customWidth="1"/>
    <col min="12299" max="12299" width="24.7109375" style="1498" customWidth="1"/>
    <col min="12300" max="12300" width="17.42578125" style="1498" customWidth="1"/>
    <col min="12301" max="12301" width="20.85546875" style="1498" customWidth="1"/>
    <col min="12302" max="12302" width="26.85546875" style="1498" customWidth="1"/>
    <col min="12303" max="12303" width="8" style="1498" customWidth="1"/>
    <col min="12304" max="12304" width="25" style="1498" customWidth="1"/>
    <col min="12305" max="12305" width="12.7109375" style="1498" customWidth="1"/>
    <col min="12306" max="12306" width="16.42578125" style="1498" customWidth="1"/>
    <col min="12307" max="12307" width="23.5703125" style="1498" customWidth="1"/>
    <col min="12308" max="12308" width="33.7109375" style="1498" customWidth="1"/>
    <col min="12309" max="12309" width="31.140625" style="1498" customWidth="1"/>
    <col min="12310" max="12310" width="19.28515625" style="1498" customWidth="1"/>
    <col min="12311" max="12311" width="11.7109375" style="1498" customWidth="1"/>
    <col min="12312" max="12312" width="15.42578125" style="1498" customWidth="1"/>
    <col min="12313" max="12313" width="5.5703125" style="1498" customWidth="1"/>
    <col min="12314" max="12314" width="4.7109375" style="1498" customWidth="1"/>
    <col min="12315" max="12316" width="7.28515625" style="1498" customWidth="1"/>
    <col min="12317" max="12317" width="8.42578125" style="1498" customWidth="1"/>
    <col min="12318" max="12318" width="9.5703125" style="1498" customWidth="1"/>
    <col min="12319" max="12319" width="6.28515625" style="1498" customWidth="1"/>
    <col min="12320" max="12320" width="5.85546875" style="1498" customWidth="1"/>
    <col min="12321" max="12322" width="4.42578125" style="1498" customWidth="1"/>
    <col min="12323" max="12323" width="5" style="1498" customWidth="1"/>
    <col min="12324" max="12324" width="5.85546875" style="1498" customWidth="1"/>
    <col min="12325" max="12325" width="6.140625" style="1498" customWidth="1"/>
    <col min="12326" max="12326" width="6.28515625" style="1498" customWidth="1"/>
    <col min="12327" max="12327" width="4.85546875" style="1498" customWidth="1"/>
    <col min="12328" max="12328" width="8.140625" style="1498" customWidth="1"/>
    <col min="12329" max="12329" width="11.5703125" style="1498" customWidth="1"/>
    <col min="12330" max="12330" width="13.7109375" style="1498" customWidth="1"/>
    <col min="12331" max="12331" width="20.85546875" style="1498" customWidth="1"/>
    <col min="12332" max="12544" width="11.42578125" style="1498"/>
    <col min="12545" max="12545" width="13.140625" style="1498" customWidth="1"/>
    <col min="12546" max="12546" width="4" style="1498" customWidth="1"/>
    <col min="12547" max="12547" width="12.85546875" style="1498" customWidth="1"/>
    <col min="12548" max="12548" width="14.7109375" style="1498" customWidth="1"/>
    <col min="12549" max="12549" width="10" style="1498" customWidth="1"/>
    <col min="12550" max="12550" width="6.28515625" style="1498" customWidth="1"/>
    <col min="12551" max="12551" width="12.28515625" style="1498" customWidth="1"/>
    <col min="12552" max="12552" width="8.5703125" style="1498" customWidth="1"/>
    <col min="12553" max="12553" width="13.7109375" style="1498" customWidth="1"/>
    <col min="12554" max="12554" width="11.5703125" style="1498" customWidth="1"/>
    <col min="12555" max="12555" width="24.7109375" style="1498" customWidth="1"/>
    <col min="12556" max="12556" width="17.42578125" style="1498" customWidth="1"/>
    <col min="12557" max="12557" width="20.85546875" style="1498" customWidth="1"/>
    <col min="12558" max="12558" width="26.85546875" style="1498" customWidth="1"/>
    <col min="12559" max="12559" width="8" style="1498" customWidth="1"/>
    <col min="12560" max="12560" width="25" style="1498" customWidth="1"/>
    <col min="12561" max="12561" width="12.7109375" style="1498" customWidth="1"/>
    <col min="12562" max="12562" width="16.42578125" style="1498" customWidth="1"/>
    <col min="12563" max="12563" width="23.5703125" style="1498" customWidth="1"/>
    <col min="12564" max="12564" width="33.7109375" style="1498" customWidth="1"/>
    <col min="12565" max="12565" width="31.140625" style="1498" customWidth="1"/>
    <col min="12566" max="12566" width="19.28515625" style="1498" customWidth="1"/>
    <col min="12567" max="12567" width="11.7109375" style="1498" customWidth="1"/>
    <col min="12568" max="12568" width="15.42578125" style="1498" customWidth="1"/>
    <col min="12569" max="12569" width="5.5703125" style="1498" customWidth="1"/>
    <col min="12570" max="12570" width="4.7109375" style="1498" customWidth="1"/>
    <col min="12571" max="12572" width="7.28515625" style="1498" customWidth="1"/>
    <col min="12573" max="12573" width="8.42578125" style="1498" customWidth="1"/>
    <col min="12574" max="12574" width="9.5703125" style="1498" customWidth="1"/>
    <col min="12575" max="12575" width="6.28515625" style="1498" customWidth="1"/>
    <col min="12576" max="12576" width="5.85546875" style="1498" customWidth="1"/>
    <col min="12577" max="12578" width="4.42578125" style="1498" customWidth="1"/>
    <col min="12579" max="12579" width="5" style="1498" customWidth="1"/>
    <col min="12580" max="12580" width="5.85546875" style="1498" customWidth="1"/>
    <col min="12581" max="12581" width="6.140625" style="1498" customWidth="1"/>
    <col min="12582" max="12582" width="6.28515625" style="1498" customWidth="1"/>
    <col min="12583" max="12583" width="4.85546875" style="1498" customWidth="1"/>
    <col min="12584" max="12584" width="8.140625" style="1498" customWidth="1"/>
    <col min="12585" max="12585" width="11.5703125" style="1498" customWidth="1"/>
    <col min="12586" max="12586" width="13.7109375" style="1498" customWidth="1"/>
    <col min="12587" max="12587" width="20.85546875" style="1498" customWidth="1"/>
    <col min="12588" max="12800" width="11.42578125" style="1498"/>
    <col min="12801" max="12801" width="13.140625" style="1498" customWidth="1"/>
    <col min="12802" max="12802" width="4" style="1498" customWidth="1"/>
    <col min="12803" max="12803" width="12.85546875" style="1498" customWidth="1"/>
    <col min="12804" max="12804" width="14.7109375" style="1498" customWidth="1"/>
    <col min="12805" max="12805" width="10" style="1498" customWidth="1"/>
    <col min="12806" max="12806" width="6.28515625" style="1498" customWidth="1"/>
    <col min="12807" max="12807" width="12.28515625" style="1498" customWidth="1"/>
    <col min="12808" max="12808" width="8.5703125" style="1498" customWidth="1"/>
    <col min="12809" max="12809" width="13.7109375" style="1498" customWidth="1"/>
    <col min="12810" max="12810" width="11.5703125" style="1498" customWidth="1"/>
    <col min="12811" max="12811" width="24.7109375" style="1498" customWidth="1"/>
    <col min="12812" max="12812" width="17.42578125" style="1498" customWidth="1"/>
    <col min="12813" max="12813" width="20.85546875" style="1498" customWidth="1"/>
    <col min="12814" max="12814" width="26.85546875" style="1498" customWidth="1"/>
    <col min="12815" max="12815" width="8" style="1498" customWidth="1"/>
    <col min="12816" max="12816" width="25" style="1498" customWidth="1"/>
    <col min="12817" max="12817" width="12.7109375" style="1498" customWidth="1"/>
    <col min="12818" max="12818" width="16.42578125" style="1498" customWidth="1"/>
    <col min="12819" max="12819" width="23.5703125" style="1498" customWidth="1"/>
    <col min="12820" max="12820" width="33.7109375" style="1498" customWidth="1"/>
    <col min="12821" max="12821" width="31.140625" style="1498" customWidth="1"/>
    <col min="12822" max="12822" width="19.28515625" style="1498" customWidth="1"/>
    <col min="12823" max="12823" width="11.7109375" style="1498" customWidth="1"/>
    <col min="12824" max="12824" width="15.42578125" style="1498" customWidth="1"/>
    <col min="12825" max="12825" width="5.5703125" style="1498" customWidth="1"/>
    <col min="12826" max="12826" width="4.7109375" style="1498" customWidth="1"/>
    <col min="12827" max="12828" width="7.28515625" style="1498" customWidth="1"/>
    <col min="12829" max="12829" width="8.42578125" style="1498" customWidth="1"/>
    <col min="12830" max="12830" width="9.5703125" style="1498" customWidth="1"/>
    <col min="12831" max="12831" width="6.28515625" style="1498" customWidth="1"/>
    <col min="12832" max="12832" width="5.85546875" style="1498" customWidth="1"/>
    <col min="12833" max="12834" width="4.42578125" style="1498" customWidth="1"/>
    <col min="12835" max="12835" width="5" style="1498" customWidth="1"/>
    <col min="12836" max="12836" width="5.85546875" style="1498" customWidth="1"/>
    <col min="12837" max="12837" width="6.140625" style="1498" customWidth="1"/>
    <col min="12838" max="12838" width="6.28515625" style="1498" customWidth="1"/>
    <col min="12839" max="12839" width="4.85546875" style="1498" customWidth="1"/>
    <col min="12840" max="12840" width="8.140625" style="1498" customWidth="1"/>
    <col min="12841" max="12841" width="11.5703125" style="1498" customWidth="1"/>
    <col min="12842" max="12842" width="13.7109375" style="1498" customWidth="1"/>
    <col min="12843" max="12843" width="20.85546875" style="1498" customWidth="1"/>
    <col min="12844" max="13056" width="11.42578125" style="1498"/>
    <col min="13057" max="13057" width="13.140625" style="1498" customWidth="1"/>
    <col min="13058" max="13058" width="4" style="1498" customWidth="1"/>
    <col min="13059" max="13059" width="12.85546875" style="1498" customWidth="1"/>
    <col min="13060" max="13060" width="14.7109375" style="1498" customWidth="1"/>
    <col min="13061" max="13061" width="10" style="1498" customWidth="1"/>
    <col min="13062" max="13062" width="6.28515625" style="1498" customWidth="1"/>
    <col min="13063" max="13063" width="12.28515625" style="1498" customWidth="1"/>
    <col min="13064" max="13064" width="8.5703125" style="1498" customWidth="1"/>
    <col min="13065" max="13065" width="13.7109375" style="1498" customWidth="1"/>
    <col min="13066" max="13066" width="11.5703125" style="1498" customWidth="1"/>
    <col min="13067" max="13067" width="24.7109375" style="1498" customWidth="1"/>
    <col min="13068" max="13068" width="17.42578125" style="1498" customWidth="1"/>
    <col min="13069" max="13069" width="20.85546875" style="1498" customWidth="1"/>
    <col min="13070" max="13070" width="26.85546875" style="1498" customWidth="1"/>
    <col min="13071" max="13071" width="8" style="1498" customWidth="1"/>
    <col min="13072" max="13072" width="25" style="1498" customWidth="1"/>
    <col min="13073" max="13073" width="12.7109375" style="1498" customWidth="1"/>
    <col min="13074" max="13074" width="16.42578125" style="1498" customWidth="1"/>
    <col min="13075" max="13075" width="23.5703125" style="1498" customWidth="1"/>
    <col min="13076" max="13076" width="33.7109375" style="1498" customWidth="1"/>
    <col min="13077" max="13077" width="31.140625" style="1498" customWidth="1"/>
    <col min="13078" max="13078" width="19.28515625" style="1498" customWidth="1"/>
    <col min="13079" max="13079" width="11.7109375" style="1498" customWidth="1"/>
    <col min="13080" max="13080" width="15.42578125" style="1498" customWidth="1"/>
    <col min="13081" max="13081" width="5.5703125" style="1498" customWidth="1"/>
    <col min="13082" max="13082" width="4.7109375" style="1498" customWidth="1"/>
    <col min="13083" max="13084" width="7.28515625" style="1498" customWidth="1"/>
    <col min="13085" max="13085" width="8.42578125" style="1498" customWidth="1"/>
    <col min="13086" max="13086" width="9.5703125" style="1498" customWidth="1"/>
    <col min="13087" max="13087" width="6.28515625" style="1498" customWidth="1"/>
    <col min="13088" max="13088" width="5.85546875" style="1498" customWidth="1"/>
    <col min="13089" max="13090" width="4.42578125" style="1498" customWidth="1"/>
    <col min="13091" max="13091" width="5" style="1498" customWidth="1"/>
    <col min="13092" max="13092" width="5.85546875" style="1498" customWidth="1"/>
    <col min="13093" max="13093" width="6.140625" style="1498" customWidth="1"/>
    <col min="13094" max="13094" width="6.28515625" style="1498" customWidth="1"/>
    <col min="13095" max="13095" width="4.85546875" style="1498" customWidth="1"/>
    <col min="13096" max="13096" width="8.140625" style="1498" customWidth="1"/>
    <col min="13097" max="13097" width="11.5703125" style="1498" customWidth="1"/>
    <col min="13098" max="13098" width="13.7109375" style="1498" customWidth="1"/>
    <col min="13099" max="13099" width="20.85546875" style="1498" customWidth="1"/>
    <col min="13100" max="13312" width="11.42578125" style="1498"/>
    <col min="13313" max="13313" width="13.140625" style="1498" customWidth="1"/>
    <col min="13314" max="13314" width="4" style="1498" customWidth="1"/>
    <col min="13315" max="13315" width="12.85546875" style="1498" customWidth="1"/>
    <col min="13316" max="13316" width="14.7109375" style="1498" customWidth="1"/>
    <col min="13317" max="13317" width="10" style="1498" customWidth="1"/>
    <col min="13318" max="13318" width="6.28515625" style="1498" customWidth="1"/>
    <col min="13319" max="13319" width="12.28515625" style="1498" customWidth="1"/>
    <col min="13320" max="13320" width="8.5703125" style="1498" customWidth="1"/>
    <col min="13321" max="13321" width="13.7109375" style="1498" customWidth="1"/>
    <col min="13322" max="13322" width="11.5703125" style="1498" customWidth="1"/>
    <col min="13323" max="13323" width="24.7109375" style="1498" customWidth="1"/>
    <col min="13324" max="13324" width="17.42578125" style="1498" customWidth="1"/>
    <col min="13325" max="13325" width="20.85546875" style="1498" customWidth="1"/>
    <col min="13326" max="13326" width="26.85546875" style="1498" customWidth="1"/>
    <col min="13327" max="13327" width="8" style="1498" customWidth="1"/>
    <col min="13328" max="13328" width="25" style="1498" customWidth="1"/>
    <col min="13329" max="13329" width="12.7109375" style="1498" customWidth="1"/>
    <col min="13330" max="13330" width="16.42578125" style="1498" customWidth="1"/>
    <col min="13331" max="13331" width="23.5703125" style="1498" customWidth="1"/>
    <col min="13332" max="13332" width="33.7109375" style="1498" customWidth="1"/>
    <col min="13333" max="13333" width="31.140625" style="1498" customWidth="1"/>
    <col min="13334" max="13334" width="19.28515625" style="1498" customWidth="1"/>
    <col min="13335" max="13335" width="11.7109375" style="1498" customWidth="1"/>
    <col min="13336" max="13336" width="15.42578125" style="1498" customWidth="1"/>
    <col min="13337" max="13337" width="5.5703125" style="1498" customWidth="1"/>
    <col min="13338" max="13338" width="4.7109375" style="1498" customWidth="1"/>
    <col min="13339" max="13340" width="7.28515625" style="1498" customWidth="1"/>
    <col min="13341" max="13341" width="8.42578125" style="1498" customWidth="1"/>
    <col min="13342" max="13342" width="9.5703125" style="1498" customWidth="1"/>
    <col min="13343" max="13343" width="6.28515625" style="1498" customWidth="1"/>
    <col min="13344" max="13344" width="5.85546875" style="1498" customWidth="1"/>
    <col min="13345" max="13346" width="4.42578125" style="1498" customWidth="1"/>
    <col min="13347" max="13347" width="5" style="1498" customWidth="1"/>
    <col min="13348" max="13348" width="5.85546875" style="1498" customWidth="1"/>
    <col min="13349" max="13349" width="6.140625" style="1498" customWidth="1"/>
    <col min="13350" max="13350" width="6.28515625" style="1498" customWidth="1"/>
    <col min="13351" max="13351" width="4.85546875" style="1498" customWidth="1"/>
    <col min="13352" max="13352" width="8.140625" style="1498" customWidth="1"/>
    <col min="13353" max="13353" width="11.5703125" style="1498" customWidth="1"/>
    <col min="13354" max="13354" width="13.7109375" style="1498" customWidth="1"/>
    <col min="13355" max="13355" width="20.85546875" style="1498" customWidth="1"/>
    <col min="13356" max="13568" width="11.42578125" style="1498"/>
    <col min="13569" max="13569" width="13.140625" style="1498" customWidth="1"/>
    <col min="13570" max="13570" width="4" style="1498" customWidth="1"/>
    <col min="13571" max="13571" width="12.85546875" style="1498" customWidth="1"/>
    <col min="13572" max="13572" width="14.7109375" style="1498" customWidth="1"/>
    <col min="13573" max="13573" width="10" style="1498" customWidth="1"/>
    <col min="13574" max="13574" width="6.28515625" style="1498" customWidth="1"/>
    <col min="13575" max="13575" width="12.28515625" style="1498" customWidth="1"/>
    <col min="13576" max="13576" width="8.5703125" style="1498" customWidth="1"/>
    <col min="13577" max="13577" width="13.7109375" style="1498" customWidth="1"/>
    <col min="13578" max="13578" width="11.5703125" style="1498" customWidth="1"/>
    <col min="13579" max="13579" width="24.7109375" style="1498" customWidth="1"/>
    <col min="13580" max="13580" width="17.42578125" style="1498" customWidth="1"/>
    <col min="13581" max="13581" width="20.85546875" style="1498" customWidth="1"/>
    <col min="13582" max="13582" width="26.85546875" style="1498" customWidth="1"/>
    <col min="13583" max="13583" width="8" style="1498" customWidth="1"/>
    <col min="13584" max="13584" width="25" style="1498" customWidth="1"/>
    <col min="13585" max="13585" width="12.7109375" style="1498" customWidth="1"/>
    <col min="13586" max="13586" width="16.42578125" style="1498" customWidth="1"/>
    <col min="13587" max="13587" width="23.5703125" style="1498" customWidth="1"/>
    <col min="13588" max="13588" width="33.7109375" style="1498" customWidth="1"/>
    <col min="13589" max="13589" width="31.140625" style="1498" customWidth="1"/>
    <col min="13590" max="13590" width="19.28515625" style="1498" customWidth="1"/>
    <col min="13591" max="13591" width="11.7109375" style="1498" customWidth="1"/>
    <col min="13592" max="13592" width="15.42578125" style="1498" customWidth="1"/>
    <col min="13593" max="13593" width="5.5703125" style="1498" customWidth="1"/>
    <col min="13594" max="13594" width="4.7109375" style="1498" customWidth="1"/>
    <col min="13595" max="13596" width="7.28515625" style="1498" customWidth="1"/>
    <col min="13597" max="13597" width="8.42578125" style="1498" customWidth="1"/>
    <col min="13598" max="13598" width="9.5703125" style="1498" customWidth="1"/>
    <col min="13599" max="13599" width="6.28515625" style="1498" customWidth="1"/>
    <col min="13600" max="13600" width="5.85546875" style="1498" customWidth="1"/>
    <col min="13601" max="13602" width="4.42578125" style="1498" customWidth="1"/>
    <col min="13603" max="13603" width="5" style="1498" customWidth="1"/>
    <col min="13604" max="13604" width="5.85546875" style="1498" customWidth="1"/>
    <col min="13605" max="13605" width="6.140625" style="1498" customWidth="1"/>
    <col min="13606" max="13606" width="6.28515625" style="1498" customWidth="1"/>
    <col min="13607" max="13607" width="4.85546875" style="1498" customWidth="1"/>
    <col min="13608" max="13608" width="8.140625" style="1498" customWidth="1"/>
    <col min="13609" max="13609" width="11.5703125" style="1498" customWidth="1"/>
    <col min="13610" max="13610" width="13.7109375" style="1498" customWidth="1"/>
    <col min="13611" max="13611" width="20.85546875" style="1498" customWidth="1"/>
    <col min="13612" max="13824" width="11.42578125" style="1498"/>
    <col min="13825" max="13825" width="13.140625" style="1498" customWidth="1"/>
    <col min="13826" max="13826" width="4" style="1498" customWidth="1"/>
    <col min="13827" max="13827" width="12.85546875" style="1498" customWidth="1"/>
    <col min="13828" max="13828" width="14.7109375" style="1498" customWidth="1"/>
    <col min="13829" max="13829" width="10" style="1498" customWidth="1"/>
    <col min="13830" max="13830" width="6.28515625" style="1498" customWidth="1"/>
    <col min="13831" max="13831" width="12.28515625" style="1498" customWidth="1"/>
    <col min="13832" max="13832" width="8.5703125" style="1498" customWidth="1"/>
    <col min="13833" max="13833" width="13.7109375" style="1498" customWidth="1"/>
    <col min="13834" max="13834" width="11.5703125" style="1498" customWidth="1"/>
    <col min="13835" max="13835" width="24.7109375" style="1498" customWidth="1"/>
    <col min="13836" max="13836" width="17.42578125" style="1498" customWidth="1"/>
    <col min="13837" max="13837" width="20.85546875" style="1498" customWidth="1"/>
    <col min="13838" max="13838" width="26.85546875" style="1498" customWidth="1"/>
    <col min="13839" max="13839" width="8" style="1498" customWidth="1"/>
    <col min="13840" max="13840" width="25" style="1498" customWidth="1"/>
    <col min="13841" max="13841" width="12.7109375" style="1498" customWidth="1"/>
    <col min="13842" max="13842" width="16.42578125" style="1498" customWidth="1"/>
    <col min="13843" max="13843" width="23.5703125" style="1498" customWidth="1"/>
    <col min="13844" max="13844" width="33.7109375" style="1498" customWidth="1"/>
    <col min="13845" max="13845" width="31.140625" style="1498" customWidth="1"/>
    <col min="13846" max="13846" width="19.28515625" style="1498" customWidth="1"/>
    <col min="13847" max="13847" width="11.7109375" style="1498" customWidth="1"/>
    <col min="13848" max="13848" width="15.42578125" style="1498" customWidth="1"/>
    <col min="13849" max="13849" width="5.5703125" style="1498" customWidth="1"/>
    <col min="13850" max="13850" width="4.7109375" style="1498" customWidth="1"/>
    <col min="13851" max="13852" width="7.28515625" style="1498" customWidth="1"/>
    <col min="13853" max="13853" width="8.42578125" style="1498" customWidth="1"/>
    <col min="13854" max="13854" width="9.5703125" style="1498" customWidth="1"/>
    <col min="13855" max="13855" width="6.28515625" style="1498" customWidth="1"/>
    <col min="13856" max="13856" width="5.85546875" style="1498" customWidth="1"/>
    <col min="13857" max="13858" width="4.42578125" style="1498" customWidth="1"/>
    <col min="13859" max="13859" width="5" style="1498" customWidth="1"/>
    <col min="13860" max="13860" width="5.85546875" style="1498" customWidth="1"/>
    <col min="13861" max="13861" width="6.140625" style="1498" customWidth="1"/>
    <col min="13862" max="13862" width="6.28515625" style="1498" customWidth="1"/>
    <col min="13863" max="13863" width="4.85546875" style="1498" customWidth="1"/>
    <col min="13864" max="13864" width="8.140625" style="1498" customWidth="1"/>
    <col min="13865" max="13865" width="11.5703125" style="1498" customWidth="1"/>
    <col min="13866" max="13866" width="13.7109375" style="1498" customWidth="1"/>
    <col min="13867" max="13867" width="20.85546875" style="1498" customWidth="1"/>
    <col min="13868" max="14080" width="11.42578125" style="1498"/>
    <col min="14081" max="14081" width="13.140625" style="1498" customWidth="1"/>
    <col min="14082" max="14082" width="4" style="1498" customWidth="1"/>
    <col min="14083" max="14083" width="12.85546875" style="1498" customWidth="1"/>
    <col min="14084" max="14084" width="14.7109375" style="1498" customWidth="1"/>
    <col min="14085" max="14085" width="10" style="1498" customWidth="1"/>
    <col min="14086" max="14086" width="6.28515625" style="1498" customWidth="1"/>
    <col min="14087" max="14087" width="12.28515625" style="1498" customWidth="1"/>
    <col min="14088" max="14088" width="8.5703125" style="1498" customWidth="1"/>
    <col min="14089" max="14089" width="13.7109375" style="1498" customWidth="1"/>
    <col min="14090" max="14090" width="11.5703125" style="1498" customWidth="1"/>
    <col min="14091" max="14091" width="24.7109375" style="1498" customWidth="1"/>
    <col min="14092" max="14092" width="17.42578125" style="1498" customWidth="1"/>
    <col min="14093" max="14093" width="20.85546875" style="1498" customWidth="1"/>
    <col min="14094" max="14094" width="26.85546875" style="1498" customWidth="1"/>
    <col min="14095" max="14095" width="8" style="1498" customWidth="1"/>
    <col min="14096" max="14096" width="25" style="1498" customWidth="1"/>
    <col min="14097" max="14097" width="12.7109375" style="1498" customWidth="1"/>
    <col min="14098" max="14098" width="16.42578125" style="1498" customWidth="1"/>
    <col min="14099" max="14099" width="23.5703125" style="1498" customWidth="1"/>
    <col min="14100" max="14100" width="33.7109375" style="1498" customWidth="1"/>
    <col min="14101" max="14101" width="31.140625" style="1498" customWidth="1"/>
    <col min="14102" max="14102" width="19.28515625" style="1498" customWidth="1"/>
    <col min="14103" max="14103" width="11.7109375" style="1498" customWidth="1"/>
    <col min="14104" max="14104" width="15.42578125" style="1498" customWidth="1"/>
    <col min="14105" max="14105" width="5.5703125" style="1498" customWidth="1"/>
    <col min="14106" max="14106" width="4.7109375" style="1498" customWidth="1"/>
    <col min="14107" max="14108" width="7.28515625" style="1498" customWidth="1"/>
    <col min="14109" max="14109" width="8.42578125" style="1498" customWidth="1"/>
    <col min="14110" max="14110" width="9.5703125" style="1498" customWidth="1"/>
    <col min="14111" max="14111" width="6.28515625" style="1498" customWidth="1"/>
    <col min="14112" max="14112" width="5.85546875" style="1498" customWidth="1"/>
    <col min="14113" max="14114" width="4.42578125" style="1498" customWidth="1"/>
    <col min="14115" max="14115" width="5" style="1498" customWidth="1"/>
    <col min="14116" max="14116" width="5.85546875" style="1498" customWidth="1"/>
    <col min="14117" max="14117" width="6.140625" style="1498" customWidth="1"/>
    <col min="14118" max="14118" width="6.28515625" style="1498" customWidth="1"/>
    <col min="14119" max="14119" width="4.85546875" style="1498" customWidth="1"/>
    <col min="14120" max="14120" width="8.140625" style="1498" customWidth="1"/>
    <col min="14121" max="14121" width="11.5703125" style="1498" customWidth="1"/>
    <col min="14122" max="14122" width="13.7109375" style="1498" customWidth="1"/>
    <col min="14123" max="14123" width="20.85546875" style="1498" customWidth="1"/>
    <col min="14124" max="14336" width="11.42578125" style="1498"/>
    <col min="14337" max="14337" width="13.140625" style="1498" customWidth="1"/>
    <col min="14338" max="14338" width="4" style="1498" customWidth="1"/>
    <col min="14339" max="14339" width="12.85546875" style="1498" customWidth="1"/>
    <col min="14340" max="14340" width="14.7109375" style="1498" customWidth="1"/>
    <col min="14341" max="14341" width="10" style="1498" customWidth="1"/>
    <col min="14342" max="14342" width="6.28515625" style="1498" customWidth="1"/>
    <col min="14343" max="14343" width="12.28515625" style="1498" customWidth="1"/>
    <col min="14344" max="14344" width="8.5703125" style="1498" customWidth="1"/>
    <col min="14345" max="14345" width="13.7109375" style="1498" customWidth="1"/>
    <col min="14346" max="14346" width="11.5703125" style="1498" customWidth="1"/>
    <col min="14347" max="14347" width="24.7109375" style="1498" customWidth="1"/>
    <col min="14348" max="14348" width="17.42578125" style="1498" customWidth="1"/>
    <col min="14349" max="14349" width="20.85546875" style="1498" customWidth="1"/>
    <col min="14350" max="14350" width="26.85546875" style="1498" customWidth="1"/>
    <col min="14351" max="14351" width="8" style="1498" customWidth="1"/>
    <col min="14352" max="14352" width="25" style="1498" customWidth="1"/>
    <col min="14353" max="14353" width="12.7109375" style="1498" customWidth="1"/>
    <col min="14354" max="14354" width="16.42578125" style="1498" customWidth="1"/>
    <col min="14355" max="14355" width="23.5703125" style="1498" customWidth="1"/>
    <col min="14356" max="14356" width="33.7109375" style="1498" customWidth="1"/>
    <col min="14357" max="14357" width="31.140625" style="1498" customWidth="1"/>
    <col min="14358" max="14358" width="19.28515625" style="1498" customWidth="1"/>
    <col min="14359" max="14359" width="11.7109375" style="1498" customWidth="1"/>
    <col min="14360" max="14360" width="15.42578125" style="1498" customWidth="1"/>
    <col min="14361" max="14361" width="5.5703125" style="1498" customWidth="1"/>
    <col min="14362" max="14362" width="4.7109375" style="1498" customWidth="1"/>
    <col min="14363" max="14364" width="7.28515625" style="1498" customWidth="1"/>
    <col min="14365" max="14365" width="8.42578125" style="1498" customWidth="1"/>
    <col min="14366" max="14366" width="9.5703125" style="1498" customWidth="1"/>
    <col min="14367" max="14367" width="6.28515625" style="1498" customWidth="1"/>
    <col min="14368" max="14368" width="5.85546875" style="1498" customWidth="1"/>
    <col min="14369" max="14370" width="4.42578125" style="1498" customWidth="1"/>
    <col min="14371" max="14371" width="5" style="1498" customWidth="1"/>
    <col min="14372" max="14372" width="5.85546875" style="1498" customWidth="1"/>
    <col min="14373" max="14373" width="6.140625" style="1498" customWidth="1"/>
    <col min="14374" max="14374" width="6.28515625" style="1498" customWidth="1"/>
    <col min="14375" max="14375" width="4.85546875" style="1498" customWidth="1"/>
    <col min="14376" max="14376" width="8.140625" style="1498" customWidth="1"/>
    <col min="14377" max="14377" width="11.5703125" style="1498" customWidth="1"/>
    <col min="14378" max="14378" width="13.7109375" style="1498" customWidth="1"/>
    <col min="14379" max="14379" width="20.85546875" style="1498" customWidth="1"/>
    <col min="14380" max="14592" width="11.42578125" style="1498"/>
    <col min="14593" max="14593" width="13.140625" style="1498" customWidth="1"/>
    <col min="14594" max="14594" width="4" style="1498" customWidth="1"/>
    <col min="14595" max="14595" width="12.85546875" style="1498" customWidth="1"/>
    <col min="14596" max="14596" width="14.7109375" style="1498" customWidth="1"/>
    <col min="14597" max="14597" width="10" style="1498" customWidth="1"/>
    <col min="14598" max="14598" width="6.28515625" style="1498" customWidth="1"/>
    <col min="14599" max="14599" width="12.28515625" style="1498" customWidth="1"/>
    <col min="14600" max="14600" width="8.5703125" style="1498" customWidth="1"/>
    <col min="14601" max="14601" width="13.7109375" style="1498" customWidth="1"/>
    <col min="14602" max="14602" width="11.5703125" style="1498" customWidth="1"/>
    <col min="14603" max="14603" width="24.7109375" style="1498" customWidth="1"/>
    <col min="14604" max="14604" width="17.42578125" style="1498" customWidth="1"/>
    <col min="14605" max="14605" width="20.85546875" style="1498" customWidth="1"/>
    <col min="14606" max="14606" width="26.85546875" style="1498" customWidth="1"/>
    <col min="14607" max="14607" width="8" style="1498" customWidth="1"/>
    <col min="14608" max="14608" width="25" style="1498" customWidth="1"/>
    <col min="14609" max="14609" width="12.7109375" style="1498" customWidth="1"/>
    <col min="14610" max="14610" width="16.42578125" style="1498" customWidth="1"/>
    <col min="14611" max="14611" width="23.5703125" style="1498" customWidth="1"/>
    <col min="14612" max="14612" width="33.7109375" style="1498" customWidth="1"/>
    <col min="14613" max="14613" width="31.140625" style="1498" customWidth="1"/>
    <col min="14614" max="14614" width="19.28515625" style="1498" customWidth="1"/>
    <col min="14615" max="14615" width="11.7109375" style="1498" customWidth="1"/>
    <col min="14616" max="14616" width="15.42578125" style="1498" customWidth="1"/>
    <col min="14617" max="14617" width="5.5703125" style="1498" customWidth="1"/>
    <col min="14618" max="14618" width="4.7109375" style="1498" customWidth="1"/>
    <col min="14619" max="14620" width="7.28515625" style="1498" customWidth="1"/>
    <col min="14621" max="14621" width="8.42578125" style="1498" customWidth="1"/>
    <col min="14622" max="14622" width="9.5703125" style="1498" customWidth="1"/>
    <col min="14623" max="14623" width="6.28515625" style="1498" customWidth="1"/>
    <col min="14624" max="14624" width="5.85546875" style="1498" customWidth="1"/>
    <col min="14625" max="14626" width="4.42578125" style="1498" customWidth="1"/>
    <col min="14627" max="14627" width="5" style="1498" customWidth="1"/>
    <col min="14628" max="14628" width="5.85546875" style="1498" customWidth="1"/>
    <col min="14629" max="14629" width="6.140625" style="1498" customWidth="1"/>
    <col min="14630" max="14630" width="6.28515625" style="1498" customWidth="1"/>
    <col min="14631" max="14631" width="4.85546875" style="1498" customWidth="1"/>
    <col min="14632" max="14632" width="8.140625" style="1498" customWidth="1"/>
    <col min="14633" max="14633" width="11.5703125" style="1498" customWidth="1"/>
    <col min="14634" max="14634" width="13.7109375" style="1498" customWidth="1"/>
    <col min="14635" max="14635" width="20.85546875" style="1498" customWidth="1"/>
    <col min="14636" max="14848" width="11.42578125" style="1498"/>
    <col min="14849" max="14849" width="13.140625" style="1498" customWidth="1"/>
    <col min="14850" max="14850" width="4" style="1498" customWidth="1"/>
    <col min="14851" max="14851" width="12.85546875" style="1498" customWidth="1"/>
    <col min="14852" max="14852" width="14.7109375" style="1498" customWidth="1"/>
    <col min="14853" max="14853" width="10" style="1498" customWidth="1"/>
    <col min="14854" max="14854" width="6.28515625" style="1498" customWidth="1"/>
    <col min="14855" max="14855" width="12.28515625" style="1498" customWidth="1"/>
    <col min="14856" max="14856" width="8.5703125" style="1498" customWidth="1"/>
    <col min="14857" max="14857" width="13.7109375" style="1498" customWidth="1"/>
    <col min="14858" max="14858" width="11.5703125" style="1498" customWidth="1"/>
    <col min="14859" max="14859" width="24.7109375" style="1498" customWidth="1"/>
    <col min="14860" max="14860" width="17.42578125" style="1498" customWidth="1"/>
    <col min="14861" max="14861" width="20.85546875" style="1498" customWidth="1"/>
    <col min="14862" max="14862" width="26.85546875" style="1498" customWidth="1"/>
    <col min="14863" max="14863" width="8" style="1498" customWidth="1"/>
    <col min="14864" max="14864" width="25" style="1498" customWidth="1"/>
    <col min="14865" max="14865" width="12.7109375" style="1498" customWidth="1"/>
    <col min="14866" max="14866" width="16.42578125" style="1498" customWidth="1"/>
    <col min="14867" max="14867" width="23.5703125" style="1498" customWidth="1"/>
    <col min="14868" max="14868" width="33.7109375" style="1498" customWidth="1"/>
    <col min="14869" max="14869" width="31.140625" style="1498" customWidth="1"/>
    <col min="14870" max="14870" width="19.28515625" style="1498" customWidth="1"/>
    <col min="14871" max="14871" width="11.7109375" style="1498" customWidth="1"/>
    <col min="14872" max="14872" width="15.42578125" style="1498" customWidth="1"/>
    <col min="14873" max="14873" width="5.5703125" style="1498" customWidth="1"/>
    <col min="14874" max="14874" width="4.7109375" style="1498" customWidth="1"/>
    <col min="14875" max="14876" width="7.28515625" style="1498" customWidth="1"/>
    <col min="14877" max="14877" width="8.42578125" style="1498" customWidth="1"/>
    <col min="14878" max="14878" width="9.5703125" style="1498" customWidth="1"/>
    <col min="14879" max="14879" width="6.28515625" style="1498" customWidth="1"/>
    <col min="14880" max="14880" width="5.85546875" style="1498" customWidth="1"/>
    <col min="14881" max="14882" width="4.42578125" style="1498" customWidth="1"/>
    <col min="14883" max="14883" width="5" style="1498" customWidth="1"/>
    <col min="14884" max="14884" width="5.85546875" style="1498" customWidth="1"/>
    <col min="14885" max="14885" width="6.140625" style="1498" customWidth="1"/>
    <col min="14886" max="14886" width="6.28515625" style="1498" customWidth="1"/>
    <col min="14887" max="14887" width="4.85546875" style="1498" customWidth="1"/>
    <col min="14888" max="14888" width="8.140625" style="1498" customWidth="1"/>
    <col min="14889" max="14889" width="11.5703125" style="1498" customWidth="1"/>
    <col min="14890" max="14890" width="13.7109375" style="1498" customWidth="1"/>
    <col min="14891" max="14891" width="20.85546875" style="1498" customWidth="1"/>
    <col min="14892" max="15104" width="11.42578125" style="1498"/>
    <col min="15105" max="15105" width="13.140625" style="1498" customWidth="1"/>
    <col min="15106" max="15106" width="4" style="1498" customWidth="1"/>
    <col min="15107" max="15107" width="12.85546875" style="1498" customWidth="1"/>
    <col min="15108" max="15108" width="14.7109375" style="1498" customWidth="1"/>
    <col min="15109" max="15109" width="10" style="1498" customWidth="1"/>
    <col min="15110" max="15110" width="6.28515625" style="1498" customWidth="1"/>
    <col min="15111" max="15111" width="12.28515625" style="1498" customWidth="1"/>
    <col min="15112" max="15112" width="8.5703125" style="1498" customWidth="1"/>
    <col min="15113" max="15113" width="13.7109375" style="1498" customWidth="1"/>
    <col min="15114" max="15114" width="11.5703125" style="1498" customWidth="1"/>
    <col min="15115" max="15115" width="24.7109375" style="1498" customWidth="1"/>
    <col min="15116" max="15116" width="17.42578125" style="1498" customWidth="1"/>
    <col min="15117" max="15117" width="20.85546875" style="1498" customWidth="1"/>
    <col min="15118" max="15118" width="26.85546875" style="1498" customWidth="1"/>
    <col min="15119" max="15119" width="8" style="1498" customWidth="1"/>
    <col min="15120" max="15120" width="25" style="1498" customWidth="1"/>
    <col min="15121" max="15121" width="12.7109375" style="1498" customWidth="1"/>
    <col min="15122" max="15122" width="16.42578125" style="1498" customWidth="1"/>
    <col min="15123" max="15123" width="23.5703125" style="1498" customWidth="1"/>
    <col min="15124" max="15124" width="33.7109375" style="1498" customWidth="1"/>
    <col min="15125" max="15125" width="31.140625" style="1498" customWidth="1"/>
    <col min="15126" max="15126" width="19.28515625" style="1498" customWidth="1"/>
    <col min="15127" max="15127" width="11.7109375" style="1498" customWidth="1"/>
    <col min="15128" max="15128" width="15.42578125" style="1498" customWidth="1"/>
    <col min="15129" max="15129" width="5.5703125" style="1498" customWidth="1"/>
    <col min="15130" max="15130" width="4.7109375" style="1498" customWidth="1"/>
    <col min="15131" max="15132" width="7.28515625" style="1498" customWidth="1"/>
    <col min="15133" max="15133" width="8.42578125" style="1498" customWidth="1"/>
    <col min="15134" max="15134" width="9.5703125" style="1498" customWidth="1"/>
    <col min="15135" max="15135" width="6.28515625" style="1498" customWidth="1"/>
    <col min="15136" max="15136" width="5.85546875" style="1498" customWidth="1"/>
    <col min="15137" max="15138" width="4.42578125" style="1498" customWidth="1"/>
    <col min="15139" max="15139" width="5" style="1498" customWidth="1"/>
    <col min="15140" max="15140" width="5.85546875" style="1498" customWidth="1"/>
    <col min="15141" max="15141" width="6.140625" style="1498" customWidth="1"/>
    <col min="15142" max="15142" width="6.28515625" style="1498" customWidth="1"/>
    <col min="15143" max="15143" width="4.85546875" style="1498" customWidth="1"/>
    <col min="15144" max="15144" width="8.140625" style="1498" customWidth="1"/>
    <col min="15145" max="15145" width="11.5703125" style="1498" customWidth="1"/>
    <col min="15146" max="15146" width="13.7109375" style="1498" customWidth="1"/>
    <col min="15147" max="15147" width="20.85546875" style="1498" customWidth="1"/>
    <col min="15148" max="15360" width="11.42578125" style="1498"/>
    <col min="15361" max="15361" width="13.140625" style="1498" customWidth="1"/>
    <col min="15362" max="15362" width="4" style="1498" customWidth="1"/>
    <col min="15363" max="15363" width="12.85546875" style="1498" customWidth="1"/>
    <col min="15364" max="15364" width="14.7109375" style="1498" customWidth="1"/>
    <col min="15365" max="15365" width="10" style="1498" customWidth="1"/>
    <col min="15366" max="15366" width="6.28515625" style="1498" customWidth="1"/>
    <col min="15367" max="15367" width="12.28515625" style="1498" customWidth="1"/>
    <col min="15368" max="15368" width="8.5703125" style="1498" customWidth="1"/>
    <col min="15369" max="15369" width="13.7109375" style="1498" customWidth="1"/>
    <col min="15370" max="15370" width="11.5703125" style="1498" customWidth="1"/>
    <col min="15371" max="15371" width="24.7109375" style="1498" customWidth="1"/>
    <col min="15372" max="15372" width="17.42578125" style="1498" customWidth="1"/>
    <col min="15373" max="15373" width="20.85546875" style="1498" customWidth="1"/>
    <col min="15374" max="15374" width="26.85546875" style="1498" customWidth="1"/>
    <col min="15375" max="15375" width="8" style="1498" customWidth="1"/>
    <col min="15376" max="15376" width="25" style="1498" customWidth="1"/>
    <col min="15377" max="15377" width="12.7109375" style="1498" customWidth="1"/>
    <col min="15378" max="15378" width="16.42578125" style="1498" customWidth="1"/>
    <col min="15379" max="15379" width="23.5703125" style="1498" customWidth="1"/>
    <col min="15380" max="15380" width="33.7109375" style="1498" customWidth="1"/>
    <col min="15381" max="15381" width="31.140625" style="1498" customWidth="1"/>
    <col min="15382" max="15382" width="19.28515625" style="1498" customWidth="1"/>
    <col min="15383" max="15383" width="11.7109375" style="1498" customWidth="1"/>
    <col min="15384" max="15384" width="15.42578125" style="1498" customWidth="1"/>
    <col min="15385" max="15385" width="5.5703125" style="1498" customWidth="1"/>
    <col min="15386" max="15386" width="4.7109375" style="1498" customWidth="1"/>
    <col min="15387" max="15388" width="7.28515625" style="1498" customWidth="1"/>
    <col min="15389" max="15389" width="8.42578125" style="1498" customWidth="1"/>
    <col min="15390" max="15390" width="9.5703125" style="1498" customWidth="1"/>
    <col min="15391" max="15391" width="6.28515625" style="1498" customWidth="1"/>
    <col min="15392" max="15392" width="5.85546875" style="1498" customWidth="1"/>
    <col min="15393" max="15394" width="4.42578125" style="1498" customWidth="1"/>
    <col min="15395" max="15395" width="5" style="1498" customWidth="1"/>
    <col min="15396" max="15396" width="5.85546875" style="1498" customWidth="1"/>
    <col min="15397" max="15397" width="6.140625" style="1498" customWidth="1"/>
    <col min="15398" max="15398" width="6.28515625" style="1498" customWidth="1"/>
    <col min="15399" max="15399" width="4.85546875" style="1498" customWidth="1"/>
    <col min="15400" max="15400" width="8.140625" style="1498" customWidth="1"/>
    <col min="15401" max="15401" width="11.5703125" style="1498" customWidth="1"/>
    <col min="15402" max="15402" width="13.7109375" style="1498" customWidth="1"/>
    <col min="15403" max="15403" width="20.85546875" style="1498" customWidth="1"/>
    <col min="15404" max="15616" width="11.42578125" style="1498"/>
    <col min="15617" max="15617" width="13.140625" style="1498" customWidth="1"/>
    <col min="15618" max="15618" width="4" style="1498" customWidth="1"/>
    <col min="15619" max="15619" width="12.85546875" style="1498" customWidth="1"/>
    <col min="15620" max="15620" width="14.7109375" style="1498" customWidth="1"/>
    <col min="15621" max="15621" width="10" style="1498" customWidth="1"/>
    <col min="15622" max="15622" width="6.28515625" style="1498" customWidth="1"/>
    <col min="15623" max="15623" width="12.28515625" style="1498" customWidth="1"/>
    <col min="15624" max="15624" width="8.5703125" style="1498" customWidth="1"/>
    <col min="15625" max="15625" width="13.7109375" style="1498" customWidth="1"/>
    <col min="15626" max="15626" width="11.5703125" style="1498" customWidth="1"/>
    <col min="15627" max="15627" width="24.7109375" style="1498" customWidth="1"/>
    <col min="15628" max="15628" width="17.42578125" style="1498" customWidth="1"/>
    <col min="15629" max="15629" width="20.85546875" style="1498" customWidth="1"/>
    <col min="15630" max="15630" width="26.85546875" style="1498" customWidth="1"/>
    <col min="15631" max="15631" width="8" style="1498" customWidth="1"/>
    <col min="15632" max="15632" width="25" style="1498" customWidth="1"/>
    <col min="15633" max="15633" width="12.7109375" style="1498" customWidth="1"/>
    <col min="15634" max="15634" width="16.42578125" style="1498" customWidth="1"/>
    <col min="15635" max="15635" width="23.5703125" style="1498" customWidth="1"/>
    <col min="15636" max="15636" width="33.7109375" style="1498" customWidth="1"/>
    <col min="15637" max="15637" width="31.140625" style="1498" customWidth="1"/>
    <col min="15638" max="15638" width="19.28515625" style="1498" customWidth="1"/>
    <col min="15639" max="15639" width="11.7109375" style="1498" customWidth="1"/>
    <col min="15640" max="15640" width="15.42578125" style="1498" customWidth="1"/>
    <col min="15641" max="15641" width="5.5703125" style="1498" customWidth="1"/>
    <col min="15642" max="15642" width="4.7109375" style="1498" customWidth="1"/>
    <col min="15643" max="15644" width="7.28515625" style="1498" customWidth="1"/>
    <col min="15645" max="15645" width="8.42578125" style="1498" customWidth="1"/>
    <col min="15646" max="15646" width="9.5703125" style="1498" customWidth="1"/>
    <col min="15647" max="15647" width="6.28515625" style="1498" customWidth="1"/>
    <col min="15648" max="15648" width="5.85546875" style="1498" customWidth="1"/>
    <col min="15649" max="15650" width="4.42578125" style="1498" customWidth="1"/>
    <col min="15651" max="15651" width="5" style="1498" customWidth="1"/>
    <col min="15652" max="15652" width="5.85546875" style="1498" customWidth="1"/>
    <col min="15653" max="15653" width="6.140625" style="1498" customWidth="1"/>
    <col min="15654" max="15654" width="6.28515625" style="1498" customWidth="1"/>
    <col min="15655" max="15655" width="4.85546875" style="1498" customWidth="1"/>
    <col min="15656" max="15656" width="8.140625" style="1498" customWidth="1"/>
    <col min="15657" max="15657" width="11.5703125" style="1498" customWidth="1"/>
    <col min="15658" max="15658" width="13.7109375" style="1498" customWidth="1"/>
    <col min="15659" max="15659" width="20.85546875" style="1498" customWidth="1"/>
    <col min="15660" max="15872" width="11.42578125" style="1498"/>
    <col min="15873" max="15873" width="13.140625" style="1498" customWidth="1"/>
    <col min="15874" max="15874" width="4" style="1498" customWidth="1"/>
    <col min="15875" max="15875" width="12.85546875" style="1498" customWidth="1"/>
    <col min="15876" max="15876" width="14.7109375" style="1498" customWidth="1"/>
    <col min="15877" max="15877" width="10" style="1498" customWidth="1"/>
    <col min="15878" max="15878" width="6.28515625" style="1498" customWidth="1"/>
    <col min="15879" max="15879" width="12.28515625" style="1498" customWidth="1"/>
    <col min="15880" max="15880" width="8.5703125" style="1498" customWidth="1"/>
    <col min="15881" max="15881" width="13.7109375" style="1498" customWidth="1"/>
    <col min="15882" max="15882" width="11.5703125" style="1498" customWidth="1"/>
    <col min="15883" max="15883" width="24.7109375" style="1498" customWidth="1"/>
    <col min="15884" max="15884" width="17.42578125" style="1498" customWidth="1"/>
    <col min="15885" max="15885" width="20.85546875" style="1498" customWidth="1"/>
    <col min="15886" max="15886" width="26.85546875" style="1498" customWidth="1"/>
    <col min="15887" max="15887" width="8" style="1498" customWidth="1"/>
    <col min="15888" max="15888" width="25" style="1498" customWidth="1"/>
    <col min="15889" max="15889" width="12.7109375" style="1498" customWidth="1"/>
    <col min="15890" max="15890" width="16.42578125" style="1498" customWidth="1"/>
    <col min="15891" max="15891" width="23.5703125" style="1498" customWidth="1"/>
    <col min="15892" max="15892" width="33.7109375" style="1498" customWidth="1"/>
    <col min="15893" max="15893" width="31.140625" style="1498" customWidth="1"/>
    <col min="15894" max="15894" width="19.28515625" style="1498" customWidth="1"/>
    <col min="15895" max="15895" width="11.7109375" style="1498" customWidth="1"/>
    <col min="15896" max="15896" width="15.42578125" style="1498" customWidth="1"/>
    <col min="15897" max="15897" width="5.5703125" style="1498" customWidth="1"/>
    <col min="15898" max="15898" width="4.7109375" style="1498" customWidth="1"/>
    <col min="15899" max="15900" width="7.28515625" style="1498" customWidth="1"/>
    <col min="15901" max="15901" width="8.42578125" style="1498" customWidth="1"/>
    <col min="15902" max="15902" width="9.5703125" style="1498" customWidth="1"/>
    <col min="15903" max="15903" width="6.28515625" style="1498" customWidth="1"/>
    <col min="15904" max="15904" width="5.85546875" style="1498" customWidth="1"/>
    <col min="15905" max="15906" width="4.42578125" style="1498" customWidth="1"/>
    <col min="15907" max="15907" width="5" style="1498" customWidth="1"/>
    <col min="15908" max="15908" width="5.85546875" style="1498" customWidth="1"/>
    <col min="15909" max="15909" width="6.140625" style="1498" customWidth="1"/>
    <col min="15910" max="15910" width="6.28515625" style="1498" customWidth="1"/>
    <col min="15911" max="15911" width="4.85546875" style="1498" customWidth="1"/>
    <col min="15912" max="15912" width="8.140625" style="1498" customWidth="1"/>
    <col min="15913" max="15913" width="11.5703125" style="1498" customWidth="1"/>
    <col min="15914" max="15914" width="13.7109375" style="1498" customWidth="1"/>
    <col min="15915" max="15915" width="20.85546875" style="1498" customWidth="1"/>
    <col min="15916" max="16128" width="11.42578125" style="1498"/>
    <col min="16129" max="16129" width="13.140625" style="1498" customWidth="1"/>
    <col min="16130" max="16130" width="4" style="1498" customWidth="1"/>
    <col min="16131" max="16131" width="12.85546875" style="1498" customWidth="1"/>
    <col min="16132" max="16132" width="14.7109375" style="1498" customWidth="1"/>
    <col min="16133" max="16133" width="10" style="1498" customWidth="1"/>
    <col min="16134" max="16134" width="6.28515625" style="1498" customWidth="1"/>
    <col min="16135" max="16135" width="12.28515625" style="1498" customWidth="1"/>
    <col min="16136" max="16136" width="8.5703125" style="1498" customWidth="1"/>
    <col min="16137" max="16137" width="13.7109375" style="1498" customWidth="1"/>
    <col min="16138" max="16138" width="11.5703125" style="1498" customWidth="1"/>
    <col min="16139" max="16139" width="24.7109375" style="1498" customWidth="1"/>
    <col min="16140" max="16140" width="17.42578125" style="1498" customWidth="1"/>
    <col min="16141" max="16141" width="20.85546875" style="1498" customWidth="1"/>
    <col min="16142" max="16142" width="26.85546875" style="1498" customWidth="1"/>
    <col min="16143" max="16143" width="8" style="1498" customWidth="1"/>
    <col min="16144" max="16144" width="25" style="1498" customWidth="1"/>
    <col min="16145" max="16145" width="12.7109375" style="1498" customWidth="1"/>
    <col min="16146" max="16146" width="16.42578125" style="1498" customWidth="1"/>
    <col min="16147" max="16147" width="23.5703125" style="1498" customWidth="1"/>
    <col min="16148" max="16148" width="33.7109375" style="1498" customWidth="1"/>
    <col min="16149" max="16149" width="31.140625" style="1498" customWidth="1"/>
    <col min="16150" max="16150" width="19.28515625" style="1498" customWidth="1"/>
    <col min="16151" max="16151" width="11.7109375" style="1498" customWidth="1"/>
    <col min="16152" max="16152" width="15.42578125" style="1498" customWidth="1"/>
    <col min="16153" max="16153" width="5.5703125" style="1498" customWidth="1"/>
    <col min="16154" max="16154" width="4.7109375" style="1498" customWidth="1"/>
    <col min="16155" max="16156" width="7.28515625" style="1498" customWidth="1"/>
    <col min="16157" max="16157" width="8.42578125" style="1498" customWidth="1"/>
    <col min="16158" max="16158" width="9.5703125" style="1498" customWidth="1"/>
    <col min="16159" max="16159" width="6.28515625" style="1498" customWidth="1"/>
    <col min="16160" max="16160" width="5.85546875" style="1498" customWidth="1"/>
    <col min="16161" max="16162" width="4.42578125" style="1498" customWidth="1"/>
    <col min="16163" max="16163" width="5" style="1498" customWidth="1"/>
    <col min="16164" max="16164" width="5.85546875" style="1498" customWidth="1"/>
    <col min="16165" max="16165" width="6.140625" style="1498" customWidth="1"/>
    <col min="16166" max="16166" width="6.28515625" style="1498" customWidth="1"/>
    <col min="16167" max="16167" width="4.85546875" style="1498" customWidth="1"/>
    <col min="16168" max="16168" width="8.140625" style="1498" customWidth="1"/>
    <col min="16169" max="16169" width="11.5703125" style="1498" customWidth="1"/>
    <col min="16170" max="16170" width="13.7109375" style="1498" customWidth="1"/>
    <col min="16171" max="16171" width="20.85546875" style="1498" customWidth="1"/>
    <col min="16172" max="16384" width="11.42578125" style="1498"/>
  </cols>
  <sheetData>
    <row r="1" spans="1:63" ht="19.5" customHeight="1" x14ac:dyDescent="0.2">
      <c r="A1" s="3043" t="s">
        <v>2336</v>
      </c>
      <c r="B1" s="3044"/>
      <c r="C1" s="3044"/>
      <c r="D1" s="3044"/>
      <c r="E1" s="3044"/>
      <c r="F1" s="3044"/>
      <c r="G1" s="3044"/>
      <c r="H1" s="3044"/>
      <c r="I1" s="3044"/>
      <c r="J1" s="3044"/>
      <c r="K1" s="3044"/>
      <c r="L1" s="3044"/>
      <c r="M1" s="3044"/>
      <c r="N1" s="3044"/>
      <c r="O1" s="3044"/>
      <c r="P1" s="3044"/>
      <c r="Q1" s="3044"/>
      <c r="R1" s="3044"/>
      <c r="S1" s="3044"/>
      <c r="T1" s="3044"/>
      <c r="U1" s="3044"/>
      <c r="V1" s="3044"/>
      <c r="W1" s="3044"/>
      <c r="X1" s="3044"/>
      <c r="Y1" s="3044"/>
      <c r="Z1" s="3044"/>
      <c r="AA1" s="3044"/>
      <c r="AB1" s="3044"/>
      <c r="AC1" s="3044"/>
      <c r="AD1" s="3044"/>
      <c r="AE1" s="3044"/>
      <c r="AF1" s="3044"/>
      <c r="AG1" s="3044"/>
      <c r="AH1" s="3044"/>
      <c r="AI1" s="3044"/>
      <c r="AJ1" s="3044"/>
      <c r="AK1" s="3044"/>
      <c r="AL1" s="3044"/>
      <c r="AM1" s="3044"/>
      <c r="AN1" s="3044"/>
      <c r="AO1" s="3044"/>
      <c r="AP1" s="2362" t="s">
        <v>1</v>
      </c>
      <c r="AQ1" s="2363" t="s">
        <v>2</v>
      </c>
    </row>
    <row r="2" spans="1:63" ht="17.25" customHeight="1" x14ac:dyDescent="0.2">
      <c r="A2" s="3045"/>
      <c r="B2" s="3046"/>
      <c r="C2" s="3046"/>
      <c r="D2" s="3046"/>
      <c r="E2" s="3046"/>
      <c r="F2" s="3046"/>
      <c r="G2" s="3046"/>
      <c r="H2" s="3046"/>
      <c r="I2" s="3046"/>
      <c r="J2" s="3046"/>
      <c r="K2" s="3046"/>
      <c r="L2" s="3046"/>
      <c r="M2" s="3046"/>
      <c r="N2" s="3046"/>
      <c r="O2" s="3046"/>
      <c r="P2" s="3046"/>
      <c r="Q2" s="3046"/>
      <c r="R2" s="3046"/>
      <c r="S2" s="3046"/>
      <c r="T2" s="3046"/>
      <c r="U2" s="3046"/>
      <c r="V2" s="3046"/>
      <c r="W2" s="3046"/>
      <c r="X2" s="3046"/>
      <c r="Y2" s="3046"/>
      <c r="Z2" s="3046"/>
      <c r="AA2" s="3046"/>
      <c r="AB2" s="3046"/>
      <c r="AC2" s="3046"/>
      <c r="AD2" s="3046"/>
      <c r="AE2" s="3046"/>
      <c r="AF2" s="3046"/>
      <c r="AG2" s="3046"/>
      <c r="AH2" s="3046"/>
      <c r="AI2" s="3046"/>
      <c r="AJ2" s="3046"/>
      <c r="AK2" s="3046"/>
      <c r="AL2" s="3046"/>
      <c r="AM2" s="3046"/>
      <c r="AN2" s="3046"/>
      <c r="AO2" s="3046"/>
      <c r="AP2" s="1935" t="s">
        <v>3</v>
      </c>
      <c r="AQ2" s="2364">
        <v>6</v>
      </c>
    </row>
    <row r="3" spans="1:63" ht="17.25" customHeight="1" x14ac:dyDescent="0.2">
      <c r="A3" s="3045"/>
      <c r="B3" s="3046"/>
      <c r="C3" s="3046"/>
      <c r="D3" s="3046"/>
      <c r="E3" s="3046"/>
      <c r="F3" s="3046"/>
      <c r="G3" s="3046"/>
      <c r="H3" s="3046"/>
      <c r="I3" s="3046"/>
      <c r="J3" s="3046"/>
      <c r="K3" s="3046"/>
      <c r="L3" s="3046"/>
      <c r="M3" s="3046"/>
      <c r="N3" s="3046"/>
      <c r="O3" s="3046"/>
      <c r="P3" s="3046"/>
      <c r="Q3" s="3046"/>
      <c r="R3" s="3046"/>
      <c r="S3" s="3046"/>
      <c r="T3" s="3046"/>
      <c r="U3" s="3046"/>
      <c r="V3" s="3046"/>
      <c r="W3" s="3046"/>
      <c r="X3" s="3046"/>
      <c r="Y3" s="3046"/>
      <c r="Z3" s="3046"/>
      <c r="AA3" s="3046"/>
      <c r="AB3" s="3046"/>
      <c r="AC3" s="3046"/>
      <c r="AD3" s="3046"/>
      <c r="AE3" s="3046"/>
      <c r="AF3" s="3046"/>
      <c r="AG3" s="3046"/>
      <c r="AH3" s="3046"/>
      <c r="AI3" s="3046"/>
      <c r="AJ3" s="3046"/>
      <c r="AK3" s="3046"/>
      <c r="AL3" s="3046"/>
      <c r="AM3" s="3046"/>
      <c r="AN3" s="3046"/>
      <c r="AO3" s="3046"/>
      <c r="AP3" s="1934" t="s">
        <v>5</v>
      </c>
      <c r="AQ3" s="2365" t="s">
        <v>6</v>
      </c>
    </row>
    <row r="4" spans="1:63" s="1940" customFormat="1" ht="15" customHeight="1" x14ac:dyDescent="0.2">
      <c r="A4" s="3047"/>
      <c r="B4" s="3048"/>
      <c r="C4" s="3048"/>
      <c r="D4" s="3048"/>
      <c r="E4" s="3048"/>
      <c r="F4" s="3048"/>
      <c r="G4" s="3048"/>
      <c r="H4" s="3048"/>
      <c r="I4" s="3048"/>
      <c r="J4" s="3048"/>
      <c r="K4" s="3048"/>
      <c r="L4" s="3048"/>
      <c r="M4" s="3048"/>
      <c r="N4" s="3048"/>
      <c r="O4" s="3048"/>
      <c r="P4" s="3048"/>
      <c r="Q4" s="3048"/>
      <c r="R4" s="3048"/>
      <c r="S4" s="3048"/>
      <c r="T4" s="3048"/>
      <c r="U4" s="3048"/>
      <c r="V4" s="3048"/>
      <c r="W4" s="3048"/>
      <c r="X4" s="3048"/>
      <c r="Y4" s="3048"/>
      <c r="Z4" s="3048"/>
      <c r="AA4" s="3048"/>
      <c r="AB4" s="3048"/>
      <c r="AC4" s="3048"/>
      <c r="AD4" s="3048"/>
      <c r="AE4" s="3048"/>
      <c r="AF4" s="3048"/>
      <c r="AG4" s="3048"/>
      <c r="AH4" s="3048"/>
      <c r="AI4" s="3048"/>
      <c r="AJ4" s="3048"/>
      <c r="AK4" s="3048"/>
      <c r="AL4" s="3048"/>
      <c r="AM4" s="3048"/>
      <c r="AN4" s="3048"/>
      <c r="AO4" s="3048"/>
      <c r="AP4" s="1938" t="s">
        <v>7</v>
      </c>
      <c r="AQ4" s="2366" t="s">
        <v>329</v>
      </c>
    </row>
    <row r="5" spans="1:63" ht="28.5" customHeight="1" x14ac:dyDescent="0.2">
      <c r="A5" s="3049" t="s">
        <v>9</v>
      </c>
      <c r="B5" s="3050"/>
      <c r="C5" s="3050"/>
      <c r="D5" s="3050"/>
      <c r="E5" s="3050"/>
      <c r="F5" s="3050"/>
      <c r="G5" s="3050"/>
      <c r="H5" s="3050"/>
      <c r="I5" s="3050"/>
      <c r="J5" s="3050"/>
      <c r="K5" s="3050"/>
      <c r="L5" s="3050"/>
      <c r="M5" s="3050"/>
      <c r="N5" s="3053" t="s">
        <v>10</v>
      </c>
      <c r="O5" s="3053"/>
      <c r="P5" s="3053"/>
      <c r="Q5" s="3053"/>
      <c r="R5" s="3053"/>
      <c r="S5" s="3053"/>
      <c r="T5" s="3053"/>
      <c r="U5" s="3053"/>
      <c r="V5" s="3053"/>
      <c r="W5" s="3053"/>
      <c r="X5" s="3053"/>
      <c r="Y5" s="3053"/>
      <c r="Z5" s="3053"/>
      <c r="AA5" s="3053"/>
      <c r="AB5" s="3053"/>
      <c r="AC5" s="3053"/>
      <c r="AD5" s="3053"/>
      <c r="AE5" s="3053"/>
      <c r="AF5" s="3053"/>
      <c r="AG5" s="3053"/>
      <c r="AH5" s="3053"/>
      <c r="AI5" s="3053"/>
      <c r="AJ5" s="3053"/>
      <c r="AK5" s="3053"/>
      <c r="AL5" s="3053"/>
      <c r="AM5" s="3053"/>
      <c r="AN5" s="3053"/>
      <c r="AO5" s="3053"/>
      <c r="AP5" s="3053"/>
      <c r="AQ5" s="3054"/>
      <c r="AR5" s="1497"/>
      <c r="AS5" s="1497"/>
      <c r="AT5" s="1497"/>
      <c r="AU5" s="1497"/>
      <c r="AV5" s="1497"/>
      <c r="AW5" s="1497"/>
      <c r="AX5" s="1497"/>
      <c r="AY5" s="1497"/>
      <c r="AZ5" s="1497"/>
      <c r="BA5" s="1497"/>
      <c r="BB5" s="1497"/>
      <c r="BC5" s="1497"/>
      <c r="BD5" s="1497"/>
      <c r="BE5" s="1497"/>
      <c r="BF5" s="1497"/>
      <c r="BG5" s="1497"/>
      <c r="BH5" s="1497"/>
      <c r="BI5" s="1497"/>
      <c r="BJ5" s="1497"/>
      <c r="BK5" s="1497"/>
    </row>
    <row r="6" spans="1:63" ht="15.75" customHeight="1" x14ac:dyDescent="0.2">
      <c r="A6" s="3051"/>
      <c r="B6" s="3052"/>
      <c r="C6" s="3052"/>
      <c r="D6" s="3052"/>
      <c r="E6" s="3052"/>
      <c r="F6" s="3052"/>
      <c r="G6" s="3052"/>
      <c r="H6" s="3052"/>
      <c r="I6" s="3052"/>
      <c r="J6" s="3052"/>
      <c r="K6" s="3052"/>
      <c r="L6" s="3052"/>
      <c r="M6" s="3052"/>
      <c r="N6" s="2367"/>
      <c r="O6" s="1503"/>
      <c r="P6" s="1504"/>
      <c r="Q6" s="1509"/>
      <c r="R6" s="2368"/>
      <c r="S6" s="1504"/>
      <c r="T6" s="1504"/>
      <c r="U6" s="1504"/>
      <c r="V6" s="1509"/>
      <c r="W6" s="1506"/>
      <c r="X6" s="1509"/>
      <c r="Y6" s="3055" t="s">
        <v>11</v>
      </c>
      <c r="Z6" s="3052"/>
      <c r="AA6" s="3052"/>
      <c r="AB6" s="3052"/>
      <c r="AC6" s="3052"/>
      <c r="AD6" s="3052"/>
      <c r="AE6" s="3052"/>
      <c r="AF6" s="3052"/>
      <c r="AG6" s="3052"/>
      <c r="AH6" s="3052"/>
      <c r="AI6" s="3052"/>
      <c r="AJ6" s="3052"/>
      <c r="AK6" s="3052"/>
      <c r="AL6" s="3052"/>
      <c r="AM6" s="3052"/>
      <c r="AN6" s="2369"/>
      <c r="AO6" s="2370"/>
      <c r="AP6" s="2370"/>
      <c r="AQ6" s="2371"/>
      <c r="AR6" s="1497"/>
      <c r="AS6" s="1497"/>
      <c r="AT6" s="1497"/>
      <c r="AU6" s="1497"/>
      <c r="AV6" s="1497"/>
      <c r="AW6" s="1497"/>
      <c r="AX6" s="1497"/>
      <c r="AY6" s="1497"/>
      <c r="AZ6" s="1497"/>
      <c r="BA6" s="1497"/>
      <c r="BB6" s="1497"/>
      <c r="BC6" s="1497"/>
      <c r="BD6" s="1497"/>
      <c r="BE6" s="1497"/>
      <c r="BF6" s="1497"/>
      <c r="BG6" s="1497"/>
      <c r="BH6" s="1497"/>
      <c r="BI6" s="1497"/>
      <c r="BJ6" s="1497"/>
      <c r="BK6" s="1497"/>
    </row>
    <row r="7" spans="1:63" s="2373" customFormat="1" ht="45.75" customHeight="1" x14ac:dyDescent="0.2">
      <c r="A7" s="3390" t="s">
        <v>12</v>
      </c>
      <c r="B7" s="3392" t="s">
        <v>13</v>
      </c>
      <c r="C7" s="3393"/>
      <c r="D7" s="3393" t="s">
        <v>12</v>
      </c>
      <c r="E7" s="3392" t="s">
        <v>14</v>
      </c>
      <c r="F7" s="3393"/>
      <c r="G7" s="3393" t="s">
        <v>12</v>
      </c>
      <c r="H7" s="3392" t="s">
        <v>15</v>
      </c>
      <c r="I7" s="3393"/>
      <c r="J7" s="3393" t="s">
        <v>12</v>
      </c>
      <c r="K7" s="3392" t="s">
        <v>16</v>
      </c>
      <c r="L7" s="3041" t="s">
        <v>17</v>
      </c>
      <c r="M7" s="3041" t="s">
        <v>740</v>
      </c>
      <c r="N7" s="3041" t="s">
        <v>19</v>
      </c>
      <c r="O7" s="3041" t="s">
        <v>20</v>
      </c>
      <c r="P7" s="3041" t="s">
        <v>10</v>
      </c>
      <c r="Q7" s="3424" t="s">
        <v>21</v>
      </c>
      <c r="R7" s="3426" t="s">
        <v>22</v>
      </c>
      <c r="S7" s="3392" t="s">
        <v>23</v>
      </c>
      <c r="T7" s="3392" t="s">
        <v>24</v>
      </c>
      <c r="U7" s="3041" t="s">
        <v>25</v>
      </c>
      <c r="V7" s="3082" t="s">
        <v>22</v>
      </c>
      <c r="W7" s="3420" t="s">
        <v>12</v>
      </c>
      <c r="X7" s="3041" t="s">
        <v>26</v>
      </c>
      <c r="Y7" s="3423" t="s">
        <v>27</v>
      </c>
      <c r="Z7" s="3423"/>
      <c r="AA7" s="3300" t="s">
        <v>28</v>
      </c>
      <c r="AB7" s="3300"/>
      <c r="AC7" s="3300"/>
      <c r="AD7" s="3300"/>
      <c r="AE7" s="3297" t="s">
        <v>29</v>
      </c>
      <c r="AF7" s="3298"/>
      <c r="AG7" s="3298"/>
      <c r="AH7" s="3298"/>
      <c r="AI7" s="3298"/>
      <c r="AJ7" s="3298"/>
      <c r="AK7" s="3299" t="s">
        <v>30</v>
      </c>
      <c r="AL7" s="3300"/>
      <c r="AM7" s="3300"/>
      <c r="AN7" s="3301" t="s">
        <v>31</v>
      </c>
      <c r="AO7" s="3396" t="s">
        <v>32</v>
      </c>
      <c r="AP7" s="3396" t="s">
        <v>33</v>
      </c>
      <c r="AQ7" s="3397" t="s">
        <v>34</v>
      </c>
      <c r="AR7" s="2372"/>
      <c r="AS7" s="2372"/>
      <c r="AT7" s="2372"/>
      <c r="AU7" s="2372"/>
      <c r="AV7" s="2372"/>
      <c r="AW7" s="2372"/>
      <c r="AX7" s="2372"/>
      <c r="AY7" s="2372"/>
      <c r="AZ7" s="2372"/>
      <c r="BA7" s="2372"/>
      <c r="BB7" s="2372"/>
      <c r="BC7" s="2372"/>
      <c r="BD7" s="2372"/>
      <c r="BE7" s="2372"/>
      <c r="BF7" s="2372"/>
      <c r="BG7" s="2372"/>
      <c r="BH7" s="2372"/>
      <c r="BI7" s="2372"/>
      <c r="BJ7" s="2372"/>
      <c r="BK7" s="2372"/>
    </row>
    <row r="8" spans="1:63" s="2373" customFormat="1" ht="84.75" customHeight="1" x14ac:dyDescent="0.2">
      <c r="A8" s="3391"/>
      <c r="B8" s="3394"/>
      <c r="C8" s="3395"/>
      <c r="D8" s="3395"/>
      <c r="E8" s="3394"/>
      <c r="F8" s="3395"/>
      <c r="G8" s="3395"/>
      <c r="H8" s="3394"/>
      <c r="I8" s="3395"/>
      <c r="J8" s="3395"/>
      <c r="K8" s="3394"/>
      <c r="L8" s="3042"/>
      <c r="M8" s="3042"/>
      <c r="N8" s="3042"/>
      <c r="O8" s="3042"/>
      <c r="P8" s="3042"/>
      <c r="Q8" s="3425"/>
      <c r="R8" s="3427"/>
      <c r="S8" s="3394"/>
      <c r="T8" s="3394"/>
      <c r="U8" s="3042"/>
      <c r="V8" s="3083"/>
      <c r="W8" s="3421"/>
      <c r="X8" s="3042"/>
      <c r="Y8" s="2374" t="s">
        <v>35</v>
      </c>
      <c r="Z8" s="2374" t="s">
        <v>36</v>
      </c>
      <c r="AA8" s="2374" t="s">
        <v>37</v>
      </c>
      <c r="AB8" s="2374" t="s">
        <v>125</v>
      </c>
      <c r="AC8" s="2375" t="s">
        <v>2337</v>
      </c>
      <c r="AD8" s="2374" t="s">
        <v>127</v>
      </c>
      <c r="AE8" s="2374" t="s">
        <v>41</v>
      </c>
      <c r="AF8" s="2374" t="s">
        <v>42</v>
      </c>
      <c r="AG8" s="2374" t="s">
        <v>43</v>
      </c>
      <c r="AH8" s="2374" t="s">
        <v>44</v>
      </c>
      <c r="AI8" s="2374" t="s">
        <v>45</v>
      </c>
      <c r="AJ8" s="2374" t="s">
        <v>46</v>
      </c>
      <c r="AK8" s="2374" t="s">
        <v>47</v>
      </c>
      <c r="AL8" s="2374" t="s">
        <v>48</v>
      </c>
      <c r="AM8" s="2374" t="s">
        <v>49</v>
      </c>
      <c r="AN8" s="3302"/>
      <c r="AO8" s="3396"/>
      <c r="AP8" s="3396"/>
      <c r="AQ8" s="3398"/>
      <c r="AR8" s="2372"/>
      <c r="AS8" s="2372"/>
      <c r="AT8" s="2372"/>
      <c r="AU8" s="2372"/>
      <c r="AV8" s="2372"/>
      <c r="AW8" s="2372"/>
      <c r="AX8" s="2372"/>
      <c r="AY8" s="2372"/>
      <c r="AZ8" s="2372"/>
      <c r="BA8" s="2372"/>
      <c r="BB8" s="2372"/>
      <c r="BC8" s="2372"/>
      <c r="BD8" s="2372"/>
      <c r="BE8" s="2372"/>
      <c r="BF8" s="2372"/>
      <c r="BG8" s="2372"/>
      <c r="BH8" s="2372"/>
      <c r="BI8" s="2372"/>
      <c r="BJ8" s="2372"/>
      <c r="BK8" s="2372"/>
    </row>
    <row r="9" spans="1:63" s="2379" customFormat="1" ht="30.75" customHeight="1" x14ac:dyDescent="0.2">
      <c r="A9" s="3391"/>
      <c r="B9" s="3394"/>
      <c r="C9" s="3395"/>
      <c r="D9" s="3395"/>
      <c r="E9" s="3394"/>
      <c r="F9" s="3395"/>
      <c r="G9" s="3395"/>
      <c r="H9" s="3394"/>
      <c r="I9" s="3395"/>
      <c r="J9" s="3395"/>
      <c r="K9" s="3394"/>
      <c r="L9" s="3042"/>
      <c r="M9" s="3389"/>
      <c r="N9" s="3042"/>
      <c r="O9" s="3042"/>
      <c r="P9" s="3042"/>
      <c r="Q9" s="3425"/>
      <c r="R9" s="3427"/>
      <c r="S9" s="3394"/>
      <c r="T9" s="3394"/>
      <c r="U9" s="3042"/>
      <c r="V9" s="3419"/>
      <c r="W9" s="3422"/>
      <c r="X9" s="3042"/>
      <c r="Y9" s="2376" t="s">
        <v>124</v>
      </c>
      <c r="Z9" s="2376" t="s">
        <v>124</v>
      </c>
      <c r="AA9" s="2377" t="s">
        <v>124</v>
      </c>
      <c r="AB9" s="2377" t="s">
        <v>124</v>
      </c>
      <c r="AC9" s="2377" t="s">
        <v>124</v>
      </c>
      <c r="AD9" s="2377" t="s">
        <v>124</v>
      </c>
      <c r="AE9" s="2377" t="s">
        <v>124</v>
      </c>
      <c r="AF9" s="2377" t="s">
        <v>124</v>
      </c>
      <c r="AG9" s="2377" t="s">
        <v>124</v>
      </c>
      <c r="AH9" s="2377" t="s">
        <v>124</v>
      </c>
      <c r="AI9" s="2377" t="s">
        <v>124</v>
      </c>
      <c r="AJ9" s="2377" t="s">
        <v>124</v>
      </c>
      <c r="AK9" s="2377" t="s">
        <v>124</v>
      </c>
      <c r="AL9" s="2377" t="s">
        <v>124</v>
      </c>
      <c r="AM9" s="2377" t="s">
        <v>124</v>
      </c>
      <c r="AN9" s="2376" t="s">
        <v>124</v>
      </c>
      <c r="AO9" s="2378" t="s">
        <v>124</v>
      </c>
      <c r="AP9" s="2378" t="s">
        <v>124</v>
      </c>
      <c r="AQ9" s="3398"/>
      <c r="AR9" s="1720"/>
      <c r="AS9" s="1720"/>
      <c r="AT9" s="1720"/>
      <c r="AU9" s="1720"/>
      <c r="AV9" s="1720"/>
      <c r="AW9" s="1720"/>
      <c r="AX9" s="1720"/>
      <c r="AY9" s="1720"/>
      <c r="AZ9" s="1720"/>
      <c r="BA9" s="1720"/>
      <c r="BB9" s="1720"/>
      <c r="BC9" s="1720"/>
      <c r="BD9" s="1720"/>
      <c r="BE9" s="1720"/>
      <c r="BF9" s="1720"/>
      <c r="BG9" s="1720"/>
      <c r="BH9" s="1720"/>
      <c r="BI9" s="1720"/>
      <c r="BJ9" s="1720"/>
      <c r="BK9" s="1720"/>
    </row>
    <row r="10" spans="1:63" ht="16.5" customHeight="1" x14ac:dyDescent="0.2">
      <c r="A10" s="2380">
        <v>2</v>
      </c>
      <c r="B10" s="2381"/>
      <c r="C10" s="2381" t="s">
        <v>200</v>
      </c>
      <c r="D10" s="2382"/>
      <c r="E10" s="2381"/>
      <c r="F10" s="2381"/>
      <c r="G10" s="2381"/>
      <c r="H10" s="2381"/>
      <c r="I10" s="2381"/>
      <c r="J10" s="2381"/>
      <c r="K10" s="2383"/>
      <c r="L10" s="2383"/>
      <c r="M10" s="2381"/>
      <c r="N10" s="2381"/>
      <c r="O10" s="2384"/>
      <c r="P10" s="2383"/>
      <c r="Q10" s="2385"/>
      <c r="R10" s="2386"/>
      <c r="S10" s="2383"/>
      <c r="T10" s="2383"/>
      <c r="U10" s="2383"/>
      <c r="V10" s="2387"/>
      <c r="W10" s="2388"/>
      <c r="X10" s="2389"/>
      <c r="Y10" s="2390"/>
      <c r="Z10" s="2390"/>
      <c r="AA10" s="2381"/>
      <c r="AB10" s="2381"/>
      <c r="AC10" s="2381"/>
      <c r="AD10" s="2381"/>
      <c r="AE10" s="2381"/>
      <c r="AF10" s="2381"/>
      <c r="AG10" s="2381"/>
      <c r="AH10" s="2381"/>
      <c r="AI10" s="2381"/>
      <c r="AJ10" s="2381"/>
      <c r="AK10" s="2381"/>
      <c r="AL10" s="2381"/>
      <c r="AM10" s="2381"/>
      <c r="AN10" s="2391"/>
      <c r="AO10" s="2392"/>
      <c r="AP10" s="2392"/>
      <c r="AQ10" s="2393"/>
      <c r="AR10" s="1497"/>
      <c r="AS10" s="1497"/>
      <c r="AT10" s="1497"/>
      <c r="AU10" s="1497"/>
      <c r="AV10" s="1497"/>
      <c r="AW10" s="1497"/>
      <c r="AX10" s="1497"/>
      <c r="AY10" s="1497"/>
      <c r="AZ10" s="1497"/>
      <c r="BA10" s="1497"/>
      <c r="BB10" s="1497"/>
      <c r="BC10" s="1497"/>
      <c r="BD10" s="1497"/>
      <c r="BE10" s="1497"/>
      <c r="BF10" s="1497"/>
      <c r="BG10" s="1497"/>
      <c r="BH10" s="1497"/>
      <c r="BI10" s="1497"/>
      <c r="BJ10" s="1497"/>
      <c r="BK10" s="1497"/>
    </row>
    <row r="11" spans="1:63" s="1497" customFormat="1" ht="20.25" customHeight="1" x14ac:dyDescent="0.2">
      <c r="A11" s="3399"/>
      <c r="B11" s="3400"/>
      <c r="C11" s="3401"/>
      <c r="D11" s="2394">
        <v>2</v>
      </c>
      <c r="E11" s="1964" t="s">
        <v>201</v>
      </c>
      <c r="F11" s="1964"/>
      <c r="G11" s="1964"/>
      <c r="H11" s="1964"/>
      <c r="I11" s="1964"/>
      <c r="J11" s="2395"/>
      <c r="K11" s="2396"/>
      <c r="L11" s="2396"/>
      <c r="M11" s="2395"/>
      <c r="N11" s="2395"/>
      <c r="O11" s="2397"/>
      <c r="P11" s="2396"/>
      <c r="Q11" s="2398"/>
      <c r="R11" s="2399"/>
      <c r="S11" s="2396"/>
      <c r="T11" s="2396"/>
      <c r="U11" s="2396"/>
      <c r="V11" s="2400"/>
      <c r="W11" s="2401"/>
      <c r="X11" s="2402"/>
      <c r="Y11" s="2403"/>
      <c r="Z11" s="2403"/>
      <c r="AA11" s="2395"/>
      <c r="AB11" s="2395"/>
      <c r="AC11" s="2395"/>
      <c r="AD11" s="2395"/>
      <c r="AE11" s="2395"/>
      <c r="AF11" s="2395"/>
      <c r="AG11" s="2395"/>
      <c r="AH11" s="2395"/>
      <c r="AI11" s="2395"/>
      <c r="AJ11" s="2395"/>
      <c r="AK11" s="2395"/>
      <c r="AL11" s="2395"/>
      <c r="AM11" s="2395"/>
      <c r="AN11" s="2404"/>
      <c r="AO11" s="2405"/>
      <c r="AP11" s="2405"/>
      <c r="AQ11" s="2406"/>
    </row>
    <row r="12" spans="1:63" s="1497" customFormat="1" ht="21.75" customHeight="1" x14ac:dyDescent="0.2">
      <c r="A12" s="3402"/>
      <c r="B12" s="3403"/>
      <c r="C12" s="3404"/>
      <c r="D12" s="3405"/>
      <c r="E12" s="3405"/>
      <c r="F12" s="3406"/>
      <c r="G12" s="2008">
        <v>8</v>
      </c>
      <c r="H12" s="1972" t="s">
        <v>2338</v>
      </c>
      <c r="I12" s="1972"/>
      <c r="J12" s="2407"/>
      <c r="K12" s="2408"/>
      <c r="L12" s="2408"/>
      <c r="M12" s="2407"/>
      <c r="N12" s="2409"/>
      <c r="O12" s="2410"/>
      <c r="P12" s="2408"/>
      <c r="Q12" s="2411"/>
      <c r="R12" s="2412"/>
      <c r="S12" s="2408"/>
      <c r="T12" s="2408"/>
      <c r="U12" s="2408"/>
      <c r="V12" s="2413"/>
      <c r="W12" s="2414"/>
      <c r="X12" s="2415"/>
      <c r="Y12" s="2416"/>
      <c r="Z12" s="2416"/>
      <c r="AA12" s="2407"/>
      <c r="AB12" s="2407"/>
      <c r="AC12" s="2407"/>
      <c r="AD12" s="2407"/>
      <c r="AE12" s="2407"/>
      <c r="AF12" s="2407"/>
      <c r="AG12" s="2407"/>
      <c r="AH12" s="2407"/>
      <c r="AI12" s="2407"/>
      <c r="AJ12" s="2407"/>
      <c r="AK12" s="2407"/>
      <c r="AL12" s="2407"/>
      <c r="AM12" s="2407"/>
      <c r="AN12" s="2417"/>
      <c r="AO12" s="2418"/>
      <c r="AP12" s="2418"/>
      <c r="AQ12" s="2419"/>
    </row>
    <row r="13" spans="1:63" s="1497" customFormat="1" ht="47.25" customHeight="1" x14ac:dyDescent="0.2">
      <c r="A13" s="3402"/>
      <c r="B13" s="3403"/>
      <c r="C13" s="3404"/>
      <c r="D13" s="3407"/>
      <c r="E13" s="3407"/>
      <c r="F13" s="3408"/>
      <c r="G13" s="3409"/>
      <c r="H13" s="3409"/>
      <c r="I13" s="3410"/>
      <c r="J13" s="3415">
        <v>38</v>
      </c>
      <c r="K13" s="3417" t="s">
        <v>2339</v>
      </c>
      <c r="L13" s="3417" t="s">
        <v>2340</v>
      </c>
      <c r="M13" s="3436">
        <v>4</v>
      </c>
      <c r="N13" s="3437" t="s">
        <v>2341</v>
      </c>
      <c r="O13" s="3410" t="s">
        <v>2342</v>
      </c>
      <c r="P13" s="3417" t="s">
        <v>2343</v>
      </c>
      <c r="Q13" s="3440">
        <f>SUM(V13:V16)/R13</f>
        <v>0.66764214046822745</v>
      </c>
      <c r="R13" s="3464">
        <f>SUM(V13:V22)</f>
        <v>119600000</v>
      </c>
      <c r="S13" s="3417" t="s">
        <v>2344</v>
      </c>
      <c r="T13" s="3428" t="s">
        <v>2345</v>
      </c>
      <c r="U13" s="3417" t="s">
        <v>2346</v>
      </c>
      <c r="V13" s="2420">
        <v>16425000</v>
      </c>
      <c r="W13" s="2421">
        <v>20</v>
      </c>
      <c r="X13" s="2422" t="s">
        <v>1850</v>
      </c>
      <c r="Y13" s="3432">
        <v>294321</v>
      </c>
      <c r="Z13" s="3432">
        <v>283947</v>
      </c>
      <c r="AA13" s="3432">
        <v>135754</v>
      </c>
      <c r="AB13" s="3432">
        <v>44640</v>
      </c>
      <c r="AC13" s="3432">
        <v>308178</v>
      </c>
      <c r="AD13" s="3432">
        <v>89696</v>
      </c>
      <c r="AE13" s="3458"/>
      <c r="AF13" s="2423"/>
      <c r="AG13" s="2423"/>
      <c r="AH13" s="2423"/>
      <c r="AI13" s="2423"/>
      <c r="AJ13" s="2423"/>
      <c r="AK13" s="2423"/>
      <c r="AL13" s="2423"/>
      <c r="AM13" s="2423"/>
      <c r="AN13" s="3461">
        <f>Y13+Z13</f>
        <v>578268</v>
      </c>
      <c r="AO13" s="3446">
        <v>43467</v>
      </c>
      <c r="AP13" s="3446">
        <v>43830</v>
      </c>
      <c r="AQ13" s="3449" t="s">
        <v>2347</v>
      </c>
    </row>
    <row r="14" spans="1:63" s="1497" customFormat="1" ht="54" customHeight="1" x14ac:dyDescent="0.2">
      <c r="A14" s="3402"/>
      <c r="B14" s="3403"/>
      <c r="C14" s="3404"/>
      <c r="D14" s="3407"/>
      <c r="E14" s="3407"/>
      <c r="F14" s="3408"/>
      <c r="G14" s="3411"/>
      <c r="H14" s="3411"/>
      <c r="I14" s="3412"/>
      <c r="J14" s="3416"/>
      <c r="K14" s="3418"/>
      <c r="L14" s="3418"/>
      <c r="M14" s="3436"/>
      <c r="N14" s="3438"/>
      <c r="O14" s="3412"/>
      <c r="P14" s="3418"/>
      <c r="Q14" s="3441"/>
      <c r="R14" s="3465"/>
      <c r="S14" s="3418"/>
      <c r="T14" s="3429"/>
      <c r="U14" s="3431"/>
      <c r="V14" s="2424">
        <f>0+60000000</f>
        <v>60000000</v>
      </c>
      <c r="W14" s="1986">
        <v>88</v>
      </c>
      <c r="X14" s="2425" t="s">
        <v>2348</v>
      </c>
      <c r="Y14" s="3433"/>
      <c r="Z14" s="3434"/>
      <c r="AA14" s="3434"/>
      <c r="AB14" s="3434"/>
      <c r="AC14" s="3434"/>
      <c r="AD14" s="3434"/>
      <c r="AE14" s="3459"/>
      <c r="AF14" s="2426"/>
      <c r="AG14" s="2426"/>
      <c r="AH14" s="2426"/>
      <c r="AI14" s="2426"/>
      <c r="AJ14" s="2426"/>
      <c r="AK14" s="2426"/>
      <c r="AL14" s="2426"/>
      <c r="AM14" s="2426"/>
      <c r="AN14" s="3462"/>
      <c r="AO14" s="3447"/>
      <c r="AP14" s="3447"/>
      <c r="AQ14" s="3450"/>
      <c r="AR14" s="2427"/>
    </row>
    <row r="15" spans="1:63" s="1497" customFormat="1" ht="18.75" customHeight="1" x14ac:dyDescent="0.2">
      <c r="A15" s="3402"/>
      <c r="B15" s="3403"/>
      <c r="C15" s="3404"/>
      <c r="D15" s="3407"/>
      <c r="E15" s="3407"/>
      <c r="F15" s="3408"/>
      <c r="G15" s="3411"/>
      <c r="H15" s="3411"/>
      <c r="I15" s="3412"/>
      <c r="J15" s="3416"/>
      <c r="K15" s="3418"/>
      <c r="L15" s="3418"/>
      <c r="M15" s="3436"/>
      <c r="N15" s="3438"/>
      <c r="O15" s="3412"/>
      <c r="P15" s="3418"/>
      <c r="Q15" s="3441"/>
      <c r="R15" s="3465"/>
      <c r="S15" s="3418"/>
      <c r="T15" s="3429"/>
      <c r="U15" s="3452" t="s">
        <v>2349</v>
      </c>
      <c r="V15" s="3453">
        <v>3425000</v>
      </c>
      <c r="W15" s="3454">
        <v>20</v>
      </c>
      <c r="X15" s="3438" t="s">
        <v>1850</v>
      </c>
      <c r="Y15" s="3434"/>
      <c r="Z15" s="3434"/>
      <c r="AA15" s="3434"/>
      <c r="AB15" s="3434"/>
      <c r="AC15" s="3434"/>
      <c r="AD15" s="3434"/>
      <c r="AE15" s="3459"/>
      <c r="AF15" s="2426"/>
      <c r="AG15" s="2426"/>
      <c r="AH15" s="2426"/>
      <c r="AI15" s="2426"/>
      <c r="AJ15" s="2426"/>
      <c r="AK15" s="2426"/>
      <c r="AL15" s="2426"/>
      <c r="AM15" s="2426"/>
      <c r="AN15" s="3462"/>
      <c r="AO15" s="3447"/>
      <c r="AP15" s="3447"/>
      <c r="AQ15" s="3450"/>
    </row>
    <row r="16" spans="1:63" s="1497" customFormat="1" ht="42" customHeight="1" x14ac:dyDescent="0.2">
      <c r="A16" s="3402"/>
      <c r="B16" s="3403"/>
      <c r="C16" s="3404"/>
      <c r="D16" s="3407"/>
      <c r="E16" s="3407"/>
      <c r="F16" s="3408"/>
      <c r="G16" s="3411"/>
      <c r="H16" s="3411"/>
      <c r="I16" s="3412"/>
      <c r="J16" s="3416"/>
      <c r="K16" s="3418"/>
      <c r="L16" s="3418"/>
      <c r="M16" s="3436"/>
      <c r="N16" s="3438"/>
      <c r="O16" s="3412"/>
      <c r="P16" s="3418"/>
      <c r="Q16" s="3441"/>
      <c r="R16" s="3465"/>
      <c r="S16" s="3418"/>
      <c r="T16" s="3429"/>
      <c r="U16" s="3452"/>
      <c r="V16" s="3453"/>
      <c r="W16" s="3454"/>
      <c r="X16" s="3439"/>
      <c r="Y16" s="3434"/>
      <c r="Z16" s="3434"/>
      <c r="AA16" s="3434"/>
      <c r="AB16" s="3434"/>
      <c r="AC16" s="3434"/>
      <c r="AD16" s="3434"/>
      <c r="AE16" s="3459"/>
      <c r="AF16" s="2426"/>
      <c r="AG16" s="2426"/>
      <c r="AH16" s="2426"/>
      <c r="AI16" s="2426"/>
      <c r="AJ16" s="2426"/>
      <c r="AK16" s="2426"/>
      <c r="AL16" s="2426"/>
      <c r="AM16" s="2426"/>
      <c r="AN16" s="3462"/>
      <c r="AO16" s="3447"/>
      <c r="AP16" s="3447"/>
      <c r="AQ16" s="3450"/>
    </row>
    <row r="17" spans="1:43" ht="11.25" customHeight="1" x14ac:dyDescent="0.2">
      <c r="A17" s="3402"/>
      <c r="B17" s="3403"/>
      <c r="C17" s="3404"/>
      <c r="D17" s="3407"/>
      <c r="E17" s="3407"/>
      <c r="F17" s="3408"/>
      <c r="G17" s="3411"/>
      <c r="H17" s="3411"/>
      <c r="I17" s="3411"/>
      <c r="J17" s="3442">
        <v>39</v>
      </c>
      <c r="K17" s="3443" t="s">
        <v>2350</v>
      </c>
      <c r="L17" s="3417" t="s">
        <v>2351</v>
      </c>
      <c r="M17" s="3445">
        <v>3</v>
      </c>
      <c r="N17" s="3438"/>
      <c r="O17" s="3412"/>
      <c r="P17" s="3418"/>
      <c r="Q17" s="3440">
        <f>SUM(V17)/R13</f>
        <v>0.33235785953177255</v>
      </c>
      <c r="R17" s="3465"/>
      <c r="S17" s="3418"/>
      <c r="T17" s="3429"/>
      <c r="U17" s="3417" t="s">
        <v>2352</v>
      </c>
      <c r="V17" s="3455">
        <v>39750000</v>
      </c>
      <c r="W17" s="3457">
        <v>20</v>
      </c>
      <c r="X17" s="3437" t="s">
        <v>1850</v>
      </c>
      <c r="Y17" s="3434"/>
      <c r="Z17" s="3434"/>
      <c r="AA17" s="3434"/>
      <c r="AB17" s="3434"/>
      <c r="AC17" s="3434"/>
      <c r="AD17" s="3434"/>
      <c r="AE17" s="3459"/>
      <c r="AF17" s="2426"/>
      <c r="AG17" s="2426"/>
      <c r="AH17" s="2426"/>
      <c r="AI17" s="2426"/>
      <c r="AJ17" s="2426"/>
      <c r="AK17" s="2426"/>
      <c r="AL17" s="2426"/>
      <c r="AM17" s="2426"/>
      <c r="AN17" s="3462"/>
      <c r="AO17" s="3447"/>
      <c r="AP17" s="3447"/>
      <c r="AQ17" s="3450"/>
    </row>
    <row r="18" spans="1:43" ht="24" customHeight="1" x14ac:dyDescent="0.2">
      <c r="A18" s="3402"/>
      <c r="B18" s="3403"/>
      <c r="C18" s="3404"/>
      <c r="D18" s="3407"/>
      <c r="E18" s="3407"/>
      <c r="F18" s="3408"/>
      <c r="G18" s="3411"/>
      <c r="H18" s="3411"/>
      <c r="I18" s="3411"/>
      <c r="J18" s="3442"/>
      <c r="K18" s="3444"/>
      <c r="L18" s="3418"/>
      <c r="M18" s="3445"/>
      <c r="N18" s="3438"/>
      <c r="O18" s="3412"/>
      <c r="P18" s="3418"/>
      <c r="Q18" s="3441"/>
      <c r="R18" s="3465"/>
      <c r="S18" s="3418"/>
      <c r="T18" s="3429"/>
      <c r="U18" s="3418"/>
      <c r="V18" s="3456"/>
      <c r="W18" s="3454"/>
      <c r="X18" s="3438"/>
      <c r="Y18" s="3434"/>
      <c r="Z18" s="3434"/>
      <c r="AA18" s="3434"/>
      <c r="AB18" s="3434"/>
      <c r="AC18" s="3434"/>
      <c r="AD18" s="3434"/>
      <c r="AE18" s="3459"/>
      <c r="AF18" s="2426"/>
      <c r="AG18" s="2426"/>
      <c r="AH18" s="2426"/>
      <c r="AI18" s="2426"/>
      <c r="AJ18" s="2426"/>
      <c r="AK18" s="2426"/>
      <c r="AL18" s="2426"/>
      <c r="AM18" s="2426"/>
      <c r="AN18" s="3462"/>
      <c r="AO18" s="3447"/>
      <c r="AP18" s="3447"/>
      <c r="AQ18" s="3450"/>
    </row>
    <row r="19" spans="1:43" ht="31.5" customHeight="1" x14ac:dyDescent="0.2">
      <c r="A19" s="3402"/>
      <c r="B19" s="3403"/>
      <c r="C19" s="3404"/>
      <c r="D19" s="3407"/>
      <c r="E19" s="3407"/>
      <c r="F19" s="3408"/>
      <c r="G19" s="3411"/>
      <c r="H19" s="3411"/>
      <c r="I19" s="3411"/>
      <c r="J19" s="3442"/>
      <c r="K19" s="3444"/>
      <c r="L19" s="3418"/>
      <c r="M19" s="3445"/>
      <c r="N19" s="3438"/>
      <c r="O19" s="3412"/>
      <c r="P19" s="3418"/>
      <c r="Q19" s="3441"/>
      <c r="R19" s="3465"/>
      <c r="S19" s="3418"/>
      <c r="T19" s="3429"/>
      <c r="U19" s="3418"/>
      <c r="V19" s="3456"/>
      <c r="W19" s="3454"/>
      <c r="X19" s="3438"/>
      <c r="Y19" s="3434"/>
      <c r="Z19" s="3434"/>
      <c r="AA19" s="3434"/>
      <c r="AB19" s="3434"/>
      <c r="AC19" s="3434"/>
      <c r="AD19" s="3434"/>
      <c r="AE19" s="3459"/>
      <c r="AF19" s="2426"/>
      <c r="AG19" s="2426"/>
      <c r="AH19" s="2426"/>
      <c r="AI19" s="2426"/>
      <c r="AJ19" s="2426"/>
      <c r="AK19" s="2426"/>
      <c r="AL19" s="2426"/>
      <c r="AM19" s="2426"/>
      <c r="AN19" s="3462"/>
      <c r="AO19" s="3447"/>
      <c r="AP19" s="3447"/>
      <c r="AQ19" s="3450"/>
    </row>
    <row r="20" spans="1:43" ht="32.25" customHeight="1" x14ac:dyDescent="0.2">
      <c r="A20" s="3402"/>
      <c r="B20" s="3403"/>
      <c r="C20" s="3404"/>
      <c r="D20" s="3407"/>
      <c r="E20" s="3407"/>
      <c r="F20" s="3408"/>
      <c r="G20" s="3411"/>
      <c r="H20" s="3411"/>
      <c r="I20" s="3411"/>
      <c r="J20" s="3442"/>
      <c r="K20" s="3444"/>
      <c r="L20" s="3418"/>
      <c r="M20" s="3445"/>
      <c r="N20" s="3438"/>
      <c r="O20" s="3412"/>
      <c r="P20" s="3418"/>
      <c r="Q20" s="3441"/>
      <c r="R20" s="3465"/>
      <c r="S20" s="3418"/>
      <c r="T20" s="3429"/>
      <c r="U20" s="3418"/>
      <c r="V20" s="3456"/>
      <c r="W20" s="3454"/>
      <c r="X20" s="3438"/>
      <c r="Y20" s="3434"/>
      <c r="Z20" s="3434"/>
      <c r="AA20" s="3434"/>
      <c r="AB20" s="3434"/>
      <c r="AC20" s="3434"/>
      <c r="AD20" s="3434"/>
      <c r="AE20" s="3459"/>
      <c r="AF20" s="2426"/>
      <c r="AG20" s="2426"/>
      <c r="AH20" s="2426"/>
      <c r="AI20" s="2426"/>
      <c r="AJ20" s="2426"/>
      <c r="AK20" s="2426"/>
      <c r="AL20" s="2426"/>
      <c r="AM20" s="2426"/>
      <c r="AN20" s="3462"/>
      <c r="AO20" s="3447"/>
      <c r="AP20" s="3447"/>
      <c r="AQ20" s="3450"/>
    </row>
    <row r="21" spans="1:43" ht="19.5" customHeight="1" x14ac:dyDescent="0.2">
      <c r="A21" s="3402"/>
      <c r="B21" s="3403"/>
      <c r="C21" s="3404"/>
      <c r="D21" s="3407"/>
      <c r="E21" s="3407"/>
      <c r="F21" s="3408"/>
      <c r="G21" s="3411"/>
      <c r="H21" s="3411"/>
      <c r="I21" s="3411"/>
      <c r="J21" s="3442"/>
      <c r="K21" s="3444"/>
      <c r="L21" s="3418"/>
      <c r="M21" s="3445"/>
      <c r="N21" s="3438"/>
      <c r="O21" s="3412"/>
      <c r="P21" s="3418"/>
      <c r="Q21" s="3441"/>
      <c r="R21" s="3465"/>
      <c r="S21" s="3418"/>
      <c r="T21" s="3429"/>
      <c r="U21" s="3418"/>
      <c r="V21" s="3456"/>
      <c r="W21" s="3454"/>
      <c r="X21" s="3438"/>
      <c r="Y21" s="3434"/>
      <c r="Z21" s="3434"/>
      <c r="AA21" s="3434"/>
      <c r="AB21" s="3434"/>
      <c r="AC21" s="3434"/>
      <c r="AD21" s="3434"/>
      <c r="AE21" s="3459"/>
      <c r="AF21" s="2426"/>
      <c r="AG21" s="2426"/>
      <c r="AH21" s="2426"/>
      <c r="AI21" s="2426"/>
      <c r="AJ21" s="2426"/>
      <c r="AK21" s="2426"/>
      <c r="AL21" s="2426"/>
      <c r="AM21" s="2426"/>
      <c r="AN21" s="3462"/>
      <c r="AO21" s="3447"/>
      <c r="AP21" s="3447"/>
      <c r="AQ21" s="3450"/>
    </row>
    <row r="22" spans="1:43" ht="15" customHeight="1" x14ac:dyDescent="0.2">
      <c r="A22" s="3402"/>
      <c r="B22" s="3403"/>
      <c r="C22" s="3404"/>
      <c r="D22" s="3407"/>
      <c r="E22" s="3407"/>
      <c r="F22" s="3408"/>
      <c r="G22" s="3411"/>
      <c r="H22" s="3411"/>
      <c r="I22" s="3411"/>
      <c r="J22" s="3442"/>
      <c r="K22" s="3444"/>
      <c r="L22" s="3418"/>
      <c r="M22" s="3445"/>
      <c r="N22" s="3439"/>
      <c r="O22" s="3412"/>
      <c r="P22" s="3418"/>
      <c r="Q22" s="3441"/>
      <c r="R22" s="3465"/>
      <c r="S22" s="3418"/>
      <c r="T22" s="3430"/>
      <c r="U22" s="3431"/>
      <c r="V22" s="3456"/>
      <c r="W22" s="3454"/>
      <c r="X22" s="3438"/>
      <c r="Y22" s="3435"/>
      <c r="Z22" s="3435"/>
      <c r="AA22" s="3435"/>
      <c r="AB22" s="3435"/>
      <c r="AC22" s="3435"/>
      <c r="AD22" s="3435"/>
      <c r="AE22" s="3460"/>
      <c r="AF22" s="2428"/>
      <c r="AG22" s="2428"/>
      <c r="AH22" s="2428"/>
      <c r="AI22" s="2428"/>
      <c r="AJ22" s="2428"/>
      <c r="AK22" s="2428"/>
      <c r="AL22" s="2428"/>
      <c r="AM22" s="2428"/>
      <c r="AN22" s="3463"/>
      <c r="AO22" s="3448"/>
      <c r="AP22" s="3448"/>
      <c r="AQ22" s="3451"/>
    </row>
    <row r="23" spans="1:43" ht="48.75" customHeight="1" x14ac:dyDescent="0.2">
      <c r="A23" s="3402"/>
      <c r="B23" s="3403"/>
      <c r="C23" s="3404"/>
      <c r="D23" s="3407"/>
      <c r="E23" s="3407"/>
      <c r="F23" s="3408"/>
      <c r="G23" s="3411"/>
      <c r="H23" s="3411"/>
      <c r="I23" s="3412"/>
      <c r="J23" s="3416">
        <v>40</v>
      </c>
      <c r="K23" s="3417" t="s">
        <v>2353</v>
      </c>
      <c r="L23" s="3417" t="s">
        <v>2354</v>
      </c>
      <c r="M23" s="3437">
        <v>0.56000000000000005</v>
      </c>
      <c r="N23" s="2429"/>
      <c r="O23" s="3437" t="s">
        <v>2355</v>
      </c>
      <c r="P23" s="3417" t="s">
        <v>2356</v>
      </c>
      <c r="Q23" s="3440">
        <f>(V23+V24)/R23</f>
        <v>0.53959057551178058</v>
      </c>
      <c r="R23" s="3464">
        <f>SUM(V23:V31)</f>
        <v>129450000</v>
      </c>
      <c r="S23" s="3417" t="s">
        <v>2357</v>
      </c>
      <c r="T23" s="3428" t="s">
        <v>2358</v>
      </c>
      <c r="U23" s="3452" t="s">
        <v>2359</v>
      </c>
      <c r="V23" s="2430">
        <v>19850000</v>
      </c>
      <c r="W23" s="1986">
        <v>20</v>
      </c>
      <c r="X23" s="2425" t="s">
        <v>1850</v>
      </c>
      <c r="Y23" s="3466">
        <v>294321</v>
      </c>
      <c r="Z23" s="3461">
        <v>283947</v>
      </c>
      <c r="AA23" s="3461">
        <v>135754</v>
      </c>
      <c r="AB23" s="3461">
        <v>44640</v>
      </c>
      <c r="AC23" s="3461">
        <v>308178</v>
      </c>
      <c r="AD23" s="3457">
        <v>89696</v>
      </c>
      <c r="AE23" s="3476"/>
      <c r="AF23" s="2423"/>
      <c r="AG23" s="2423"/>
      <c r="AH23" s="2423"/>
      <c r="AI23" s="2423"/>
      <c r="AJ23" s="2423"/>
      <c r="AK23" s="2423"/>
      <c r="AL23" s="2423"/>
      <c r="AM23" s="2423"/>
      <c r="AN23" s="3461">
        <f>+Y23+Z23</f>
        <v>578268</v>
      </c>
      <c r="AO23" s="3446">
        <v>43467</v>
      </c>
      <c r="AP23" s="3446">
        <v>43830</v>
      </c>
      <c r="AQ23" s="3449" t="s">
        <v>2347</v>
      </c>
    </row>
    <row r="24" spans="1:43" ht="35.25" customHeight="1" x14ac:dyDescent="0.2">
      <c r="A24" s="3402"/>
      <c r="B24" s="3403"/>
      <c r="C24" s="3404"/>
      <c r="D24" s="3407"/>
      <c r="E24" s="3407"/>
      <c r="F24" s="3408"/>
      <c r="G24" s="3411"/>
      <c r="H24" s="3411"/>
      <c r="I24" s="3412"/>
      <c r="J24" s="3416"/>
      <c r="K24" s="3418"/>
      <c r="L24" s="3418"/>
      <c r="M24" s="3438"/>
      <c r="N24" s="2429"/>
      <c r="O24" s="3438"/>
      <c r="P24" s="3418"/>
      <c r="Q24" s="3441"/>
      <c r="R24" s="3465"/>
      <c r="S24" s="3418"/>
      <c r="T24" s="3429"/>
      <c r="U24" s="3452"/>
      <c r="V24" s="3471">
        <f>0+50000000</f>
        <v>50000000</v>
      </c>
      <c r="W24" s="3472">
        <v>88</v>
      </c>
      <c r="X24" s="3473" t="s">
        <v>2348</v>
      </c>
      <c r="Y24" s="3467"/>
      <c r="Z24" s="3462"/>
      <c r="AA24" s="3462"/>
      <c r="AB24" s="3462"/>
      <c r="AC24" s="3462"/>
      <c r="AD24" s="3454"/>
      <c r="AE24" s="3477"/>
      <c r="AF24" s="2426"/>
      <c r="AG24" s="2426"/>
      <c r="AH24" s="2426"/>
      <c r="AI24" s="2426"/>
      <c r="AJ24" s="2426"/>
      <c r="AK24" s="2426"/>
      <c r="AL24" s="2426"/>
      <c r="AM24" s="2426"/>
      <c r="AN24" s="3462"/>
      <c r="AO24" s="3447"/>
      <c r="AP24" s="3447"/>
      <c r="AQ24" s="3450"/>
    </row>
    <row r="25" spans="1:43" ht="100.5" customHeight="1" x14ac:dyDescent="0.2">
      <c r="A25" s="3402"/>
      <c r="B25" s="3403"/>
      <c r="C25" s="3404"/>
      <c r="D25" s="3407"/>
      <c r="E25" s="3407"/>
      <c r="F25" s="3408"/>
      <c r="G25" s="3411"/>
      <c r="H25" s="3411"/>
      <c r="I25" s="3412"/>
      <c r="J25" s="3416"/>
      <c r="K25" s="3418"/>
      <c r="L25" s="3418"/>
      <c r="M25" s="3438"/>
      <c r="N25" s="2429" t="s">
        <v>2360</v>
      </c>
      <c r="O25" s="3438"/>
      <c r="P25" s="3418"/>
      <c r="Q25" s="3441"/>
      <c r="R25" s="3465"/>
      <c r="S25" s="3418"/>
      <c r="T25" s="3429"/>
      <c r="U25" s="3452"/>
      <c r="V25" s="3471"/>
      <c r="W25" s="3472"/>
      <c r="X25" s="3473"/>
      <c r="Y25" s="3467"/>
      <c r="Z25" s="3462"/>
      <c r="AA25" s="3462"/>
      <c r="AB25" s="3462"/>
      <c r="AC25" s="3462"/>
      <c r="AD25" s="3454"/>
      <c r="AE25" s="3477"/>
      <c r="AF25" s="2426"/>
      <c r="AG25" s="2426"/>
      <c r="AH25" s="2426"/>
      <c r="AI25" s="2426"/>
      <c r="AJ25" s="2426"/>
      <c r="AK25" s="2426"/>
      <c r="AL25" s="2426"/>
      <c r="AM25" s="2426"/>
      <c r="AN25" s="3462"/>
      <c r="AO25" s="3447"/>
      <c r="AP25" s="3447"/>
      <c r="AQ25" s="3450"/>
    </row>
    <row r="26" spans="1:43" ht="38.25" customHeight="1" x14ac:dyDescent="0.2">
      <c r="A26" s="3402"/>
      <c r="B26" s="3403"/>
      <c r="C26" s="3404"/>
      <c r="D26" s="3407"/>
      <c r="E26" s="3407"/>
      <c r="F26" s="3408"/>
      <c r="G26" s="3411"/>
      <c r="H26" s="3411"/>
      <c r="I26" s="3412"/>
      <c r="J26" s="3415">
        <v>41</v>
      </c>
      <c r="K26" s="3417" t="s">
        <v>2361</v>
      </c>
      <c r="L26" s="3417" t="s">
        <v>2362</v>
      </c>
      <c r="M26" s="3437">
        <v>1</v>
      </c>
      <c r="N26" s="2429"/>
      <c r="O26" s="3438"/>
      <c r="P26" s="3418"/>
      <c r="Q26" s="3440">
        <f>(V26)/R23</f>
        <v>0.19196601004248745</v>
      </c>
      <c r="R26" s="3465"/>
      <c r="S26" s="3418"/>
      <c r="T26" s="3428" t="s">
        <v>2363</v>
      </c>
      <c r="U26" s="3468" t="s">
        <v>2364</v>
      </c>
      <c r="V26" s="3474">
        <v>24850000</v>
      </c>
      <c r="W26" s="3454">
        <v>20</v>
      </c>
      <c r="X26" s="3438" t="s">
        <v>1850</v>
      </c>
      <c r="Y26" s="3462"/>
      <c r="Z26" s="3462"/>
      <c r="AA26" s="3462"/>
      <c r="AB26" s="3462"/>
      <c r="AC26" s="3462"/>
      <c r="AD26" s="3454"/>
      <c r="AE26" s="3477"/>
      <c r="AF26" s="2426"/>
      <c r="AG26" s="2426"/>
      <c r="AH26" s="2426"/>
      <c r="AI26" s="2426"/>
      <c r="AJ26" s="2426"/>
      <c r="AK26" s="2426"/>
      <c r="AL26" s="2426"/>
      <c r="AM26" s="2426"/>
      <c r="AN26" s="3462"/>
      <c r="AO26" s="3447"/>
      <c r="AP26" s="3447"/>
      <c r="AQ26" s="3450"/>
    </row>
    <row r="27" spans="1:43" ht="36" customHeight="1" x14ac:dyDescent="0.2">
      <c r="A27" s="3402"/>
      <c r="B27" s="3403"/>
      <c r="C27" s="3404"/>
      <c r="D27" s="3407"/>
      <c r="E27" s="3407"/>
      <c r="F27" s="3408"/>
      <c r="G27" s="3411"/>
      <c r="H27" s="3411"/>
      <c r="I27" s="3412"/>
      <c r="J27" s="3416"/>
      <c r="K27" s="3418"/>
      <c r="L27" s="3418"/>
      <c r="M27" s="3438"/>
      <c r="N27" s="2429" t="s">
        <v>2365</v>
      </c>
      <c r="O27" s="3438"/>
      <c r="P27" s="3418"/>
      <c r="Q27" s="3441"/>
      <c r="R27" s="3465"/>
      <c r="S27" s="3418"/>
      <c r="T27" s="3429"/>
      <c r="U27" s="3469"/>
      <c r="V27" s="3453"/>
      <c r="W27" s="3454"/>
      <c r="X27" s="3438"/>
      <c r="Y27" s="3462"/>
      <c r="Z27" s="3462"/>
      <c r="AA27" s="3462"/>
      <c r="AB27" s="3462"/>
      <c r="AC27" s="3462"/>
      <c r="AD27" s="3454"/>
      <c r="AE27" s="3477"/>
      <c r="AF27" s="2426"/>
      <c r="AG27" s="2426"/>
      <c r="AH27" s="2426"/>
      <c r="AI27" s="2426"/>
      <c r="AJ27" s="2426"/>
      <c r="AK27" s="2426"/>
      <c r="AL27" s="2426"/>
      <c r="AM27" s="2426"/>
      <c r="AN27" s="3462"/>
      <c r="AO27" s="3447"/>
      <c r="AP27" s="3447"/>
      <c r="AQ27" s="3450"/>
    </row>
    <row r="28" spans="1:43" ht="28.5" customHeight="1" x14ac:dyDescent="0.2">
      <c r="A28" s="3402"/>
      <c r="B28" s="3403"/>
      <c r="C28" s="3404"/>
      <c r="D28" s="3407"/>
      <c r="E28" s="3407"/>
      <c r="F28" s="3408"/>
      <c r="G28" s="3411"/>
      <c r="H28" s="3411"/>
      <c r="I28" s="3412"/>
      <c r="J28" s="3416"/>
      <c r="K28" s="3418"/>
      <c r="L28" s="3418"/>
      <c r="M28" s="3438"/>
      <c r="N28" s="2429"/>
      <c r="O28" s="3438"/>
      <c r="P28" s="3418"/>
      <c r="Q28" s="3441"/>
      <c r="R28" s="3465"/>
      <c r="S28" s="3418"/>
      <c r="T28" s="3429"/>
      <c r="U28" s="3470"/>
      <c r="V28" s="3453"/>
      <c r="W28" s="3475"/>
      <c r="X28" s="3439"/>
      <c r="Y28" s="3462"/>
      <c r="Z28" s="3462"/>
      <c r="AA28" s="3462"/>
      <c r="AB28" s="3462"/>
      <c r="AC28" s="3462"/>
      <c r="AD28" s="3454"/>
      <c r="AE28" s="3477"/>
      <c r="AF28" s="2426"/>
      <c r="AG28" s="2426"/>
      <c r="AH28" s="2426"/>
      <c r="AI28" s="2426"/>
      <c r="AJ28" s="2426"/>
      <c r="AK28" s="2426"/>
      <c r="AL28" s="2426"/>
      <c r="AM28" s="2426"/>
      <c r="AN28" s="3462"/>
      <c r="AO28" s="3447"/>
      <c r="AP28" s="3447"/>
      <c r="AQ28" s="3450"/>
    </row>
    <row r="29" spans="1:43" ht="25.5" customHeight="1" x14ac:dyDescent="0.2">
      <c r="A29" s="3402"/>
      <c r="B29" s="3403"/>
      <c r="C29" s="3404"/>
      <c r="D29" s="3407"/>
      <c r="E29" s="3407"/>
      <c r="F29" s="3408"/>
      <c r="G29" s="3411"/>
      <c r="H29" s="3411"/>
      <c r="I29" s="3412"/>
      <c r="J29" s="3415">
        <v>42</v>
      </c>
      <c r="K29" s="3417" t="s">
        <v>2366</v>
      </c>
      <c r="L29" s="3417" t="s">
        <v>2367</v>
      </c>
      <c r="M29" s="3437">
        <v>1</v>
      </c>
      <c r="N29" s="2429"/>
      <c r="O29" s="3438"/>
      <c r="P29" s="3418"/>
      <c r="Q29" s="3440">
        <f>(V29)/R23</f>
        <v>0.26844341444573194</v>
      </c>
      <c r="R29" s="3465"/>
      <c r="S29" s="3418"/>
      <c r="T29" s="3429"/>
      <c r="U29" s="3468" t="s">
        <v>2368</v>
      </c>
      <c r="V29" s="3453">
        <v>34750000</v>
      </c>
      <c r="W29" s="3457">
        <v>20</v>
      </c>
      <c r="X29" s="3437" t="s">
        <v>1850</v>
      </c>
      <c r="Y29" s="3462"/>
      <c r="Z29" s="3462"/>
      <c r="AA29" s="3462"/>
      <c r="AB29" s="3462"/>
      <c r="AC29" s="3462"/>
      <c r="AD29" s="3454"/>
      <c r="AE29" s="3477"/>
      <c r="AF29" s="2426"/>
      <c r="AG29" s="2426"/>
      <c r="AH29" s="2426"/>
      <c r="AI29" s="2426"/>
      <c r="AJ29" s="2426"/>
      <c r="AK29" s="2426"/>
      <c r="AL29" s="2426"/>
      <c r="AM29" s="2426"/>
      <c r="AN29" s="3462"/>
      <c r="AO29" s="3447"/>
      <c r="AP29" s="3447"/>
      <c r="AQ29" s="3450"/>
    </row>
    <row r="30" spans="1:43" ht="42" customHeight="1" x14ac:dyDescent="0.2">
      <c r="A30" s="3402"/>
      <c r="B30" s="3403"/>
      <c r="C30" s="3404"/>
      <c r="D30" s="3407"/>
      <c r="E30" s="3407"/>
      <c r="F30" s="3408"/>
      <c r="G30" s="3411"/>
      <c r="H30" s="3411"/>
      <c r="I30" s="3412"/>
      <c r="J30" s="3416"/>
      <c r="K30" s="3418"/>
      <c r="L30" s="3418"/>
      <c r="M30" s="3438"/>
      <c r="N30" s="2429"/>
      <c r="O30" s="3438"/>
      <c r="P30" s="3418"/>
      <c r="Q30" s="3441"/>
      <c r="R30" s="3465"/>
      <c r="S30" s="3418"/>
      <c r="T30" s="3429"/>
      <c r="U30" s="3469"/>
      <c r="V30" s="3453"/>
      <c r="W30" s="3454"/>
      <c r="X30" s="3438"/>
      <c r="Y30" s="3462"/>
      <c r="Z30" s="3462"/>
      <c r="AA30" s="3462"/>
      <c r="AB30" s="3462"/>
      <c r="AC30" s="3462"/>
      <c r="AD30" s="3454"/>
      <c r="AE30" s="3477"/>
      <c r="AF30" s="2426"/>
      <c r="AG30" s="2426"/>
      <c r="AH30" s="2426"/>
      <c r="AI30" s="2426"/>
      <c r="AJ30" s="2426"/>
      <c r="AK30" s="2426"/>
      <c r="AL30" s="2426"/>
      <c r="AM30" s="2426"/>
      <c r="AN30" s="3462"/>
      <c r="AO30" s="3447"/>
      <c r="AP30" s="3447"/>
      <c r="AQ30" s="3450"/>
    </row>
    <row r="31" spans="1:43" ht="33" customHeight="1" x14ac:dyDescent="0.2">
      <c r="A31" s="3402"/>
      <c r="B31" s="3403"/>
      <c r="C31" s="3404"/>
      <c r="D31" s="3407"/>
      <c r="E31" s="3407"/>
      <c r="F31" s="3408"/>
      <c r="G31" s="3413"/>
      <c r="H31" s="3413"/>
      <c r="I31" s="3414"/>
      <c r="J31" s="3416"/>
      <c r="K31" s="3418"/>
      <c r="L31" s="3418"/>
      <c r="M31" s="3438"/>
      <c r="N31" s="2429"/>
      <c r="O31" s="3438"/>
      <c r="P31" s="3418"/>
      <c r="Q31" s="3441"/>
      <c r="R31" s="3465"/>
      <c r="S31" s="3418"/>
      <c r="T31" s="3430"/>
      <c r="U31" s="3469"/>
      <c r="V31" s="3453"/>
      <c r="W31" s="3475"/>
      <c r="X31" s="3439"/>
      <c r="Y31" s="3463"/>
      <c r="Z31" s="3463"/>
      <c r="AA31" s="3463"/>
      <c r="AB31" s="3463"/>
      <c r="AC31" s="3463"/>
      <c r="AD31" s="3475"/>
      <c r="AE31" s="3478"/>
      <c r="AF31" s="2428"/>
      <c r="AG31" s="2428"/>
      <c r="AH31" s="2428"/>
      <c r="AI31" s="2428"/>
      <c r="AJ31" s="2428"/>
      <c r="AK31" s="2428"/>
      <c r="AL31" s="2428"/>
      <c r="AM31" s="2428"/>
      <c r="AN31" s="3463"/>
      <c r="AO31" s="3448"/>
      <c r="AP31" s="3448"/>
      <c r="AQ31" s="3450"/>
    </row>
    <row r="32" spans="1:43" ht="22.5" customHeight="1" x14ac:dyDescent="0.2">
      <c r="A32" s="3402"/>
      <c r="B32" s="3403"/>
      <c r="C32" s="3404"/>
      <c r="D32" s="3407"/>
      <c r="E32" s="3407"/>
      <c r="F32" s="3408"/>
      <c r="G32" s="2008">
        <v>9</v>
      </c>
      <c r="H32" s="1972" t="s">
        <v>2369</v>
      </c>
      <c r="I32" s="1972"/>
      <c r="J32" s="2407"/>
      <c r="K32" s="2408"/>
      <c r="L32" s="2408"/>
      <c r="M32" s="2407"/>
      <c r="N32" s="2415"/>
      <c r="O32" s="2410"/>
      <c r="P32" s="2408"/>
      <c r="Q32" s="2411"/>
      <c r="R32" s="2412"/>
      <c r="S32" s="2408"/>
      <c r="T32" s="2431"/>
      <c r="U32" s="2431"/>
      <c r="V32" s="2432"/>
      <c r="W32" s="2433"/>
      <c r="X32" s="2434"/>
      <c r="Y32" s="2416"/>
      <c r="Z32" s="2416"/>
      <c r="AA32" s="2407"/>
      <c r="AB32" s="2407"/>
      <c r="AC32" s="2407"/>
      <c r="AD32" s="2407"/>
      <c r="AE32" s="2407"/>
      <c r="AF32" s="2407"/>
      <c r="AG32" s="2407"/>
      <c r="AH32" s="2407"/>
      <c r="AI32" s="2407"/>
      <c r="AJ32" s="2407"/>
      <c r="AK32" s="2407"/>
      <c r="AL32" s="2407"/>
      <c r="AM32" s="2407"/>
      <c r="AN32" s="2416"/>
      <c r="AO32" s="2435"/>
      <c r="AP32" s="2435"/>
      <c r="AQ32" s="2436"/>
    </row>
    <row r="33" spans="1:43" ht="30" customHeight="1" x14ac:dyDescent="0.2">
      <c r="A33" s="3402"/>
      <c r="B33" s="3403"/>
      <c r="C33" s="3404"/>
      <c r="D33" s="3407"/>
      <c r="E33" s="3407"/>
      <c r="F33" s="3408"/>
      <c r="G33" s="3479"/>
      <c r="H33" s="3405"/>
      <c r="I33" s="3406"/>
      <c r="J33" s="3484">
        <v>44</v>
      </c>
      <c r="K33" s="3485" t="s">
        <v>2370</v>
      </c>
      <c r="L33" s="3485" t="s">
        <v>2371</v>
      </c>
      <c r="M33" s="3436">
        <v>1</v>
      </c>
      <c r="N33" s="2437"/>
      <c r="O33" s="3438" t="s">
        <v>2372</v>
      </c>
      <c r="P33" s="3418" t="s">
        <v>2373</v>
      </c>
      <c r="Q33" s="3440">
        <f>SUM(V33:V38)/R33</f>
        <v>0.20361860999425618</v>
      </c>
      <c r="R33" s="3465">
        <f>SUM(V33:V50)</f>
        <v>348200000</v>
      </c>
      <c r="S33" s="3418" t="s">
        <v>2374</v>
      </c>
      <c r="T33" s="3428" t="s">
        <v>2375</v>
      </c>
      <c r="U33" s="3468" t="s">
        <v>2376</v>
      </c>
      <c r="V33" s="2424">
        <v>16910000</v>
      </c>
      <c r="W33" s="1986">
        <v>20</v>
      </c>
      <c r="X33" s="2425" t="s">
        <v>1850</v>
      </c>
      <c r="Y33" s="3467">
        <v>294321</v>
      </c>
      <c r="Z33" s="3462">
        <v>283947</v>
      </c>
      <c r="AA33" s="3462">
        <v>135754</v>
      </c>
      <c r="AB33" s="3462">
        <v>44640</v>
      </c>
      <c r="AC33" s="3462">
        <v>308178</v>
      </c>
      <c r="AD33" s="3454">
        <v>89696</v>
      </c>
      <c r="AE33" s="3492"/>
      <c r="AF33" s="2426"/>
      <c r="AG33" s="2426"/>
      <c r="AH33" s="2426"/>
      <c r="AI33" s="2426"/>
      <c r="AJ33" s="2426"/>
      <c r="AK33" s="2426"/>
      <c r="AL33" s="2426"/>
      <c r="AM33" s="2426"/>
      <c r="AN33" s="3462">
        <f>+Y33+Z33</f>
        <v>578268</v>
      </c>
      <c r="AO33" s="3447">
        <v>43467</v>
      </c>
      <c r="AP33" s="3447">
        <v>43830</v>
      </c>
      <c r="AQ33" s="3487" t="s">
        <v>2347</v>
      </c>
    </row>
    <row r="34" spans="1:43" ht="27" customHeight="1" x14ac:dyDescent="0.2">
      <c r="A34" s="3402"/>
      <c r="B34" s="3403"/>
      <c r="C34" s="3404"/>
      <c r="D34" s="3407"/>
      <c r="E34" s="3407"/>
      <c r="F34" s="3408"/>
      <c r="G34" s="3480"/>
      <c r="H34" s="3407"/>
      <c r="I34" s="3408"/>
      <c r="J34" s="3484"/>
      <c r="K34" s="3485"/>
      <c r="L34" s="3485"/>
      <c r="M34" s="3436"/>
      <c r="N34" s="2437"/>
      <c r="O34" s="3438"/>
      <c r="P34" s="3418"/>
      <c r="Q34" s="3441"/>
      <c r="R34" s="3465"/>
      <c r="S34" s="3418"/>
      <c r="T34" s="3429"/>
      <c r="U34" s="3469"/>
      <c r="V34" s="3488">
        <f>0+39400000</f>
        <v>39400000</v>
      </c>
      <c r="W34" s="3472">
        <v>88</v>
      </c>
      <c r="X34" s="3473" t="s">
        <v>2348</v>
      </c>
      <c r="Y34" s="3467"/>
      <c r="Z34" s="3462"/>
      <c r="AA34" s="3462"/>
      <c r="AB34" s="3462"/>
      <c r="AC34" s="3462"/>
      <c r="AD34" s="3454"/>
      <c r="AE34" s="3493"/>
      <c r="AF34" s="2426"/>
      <c r="AG34" s="2426"/>
      <c r="AH34" s="2426"/>
      <c r="AI34" s="2426"/>
      <c r="AJ34" s="2426"/>
      <c r="AK34" s="2426"/>
      <c r="AL34" s="2426"/>
      <c r="AM34" s="2426"/>
      <c r="AN34" s="3462"/>
      <c r="AO34" s="3447"/>
      <c r="AP34" s="3447"/>
      <c r="AQ34" s="3450"/>
    </row>
    <row r="35" spans="1:43" ht="33" customHeight="1" x14ac:dyDescent="0.2">
      <c r="A35" s="3402"/>
      <c r="B35" s="3403"/>
      <c r="C35" s="3404"/>
      <c r="D35" s="3407"/>
      <c r="E35" s="3407"/>
      <c r="F35" s="3408"/>
      <c r="G35" s="3480"/>
      <c r="H35" s="3407"/>
      <c r="I35" s="3408"/>
      <c r="J35" s="3484"/>
      <c r="K35" s="3485"/>
      <c r="L35" s="3485"/>
      <c r="M35" s="3436"/>
      <c r="N35" s="2437"/>
      <c r="O35" s="3438"/>
      <c r="P35" s="3418"/>
      <c r="Q35" s="3441"/>
      <c r="R35" s="3465"/>
      <c r="S35" s="3418"/>
      <c r="T35" s="3429"/>
      <c r="U35" s="3469"/>
      <c r="V35" s="3489"/>
      <c r="W35" s="3490"/>
      <c r="X35" s="3491"/>
      <c r="Y35" s="3467"/>
      <c r="Z35" s="3462"/>
      <c r="AA35" s="3462"/>
      <c r="AB35" s="3462"/>
      <c r="AC35" s="3462"/>
      <c r="AD35" s="3454"/>
      <c r="AE35" s="3493"/>
      <c r="AF35" s="2426"/>
      <c r="AG35" s="2426"/>
      <c r="AH35" s="2426"/>
      <c r="AI35" s="2426"/>
      <c r="AJ35" s="2426"/>
      <c r="AK35" s="2426"/>
      <c r="AL35" s="2426"/>
      <c r="AM35" s="2426"/>
      <c r="AN35" s="3462"/>
      <c r="AO35" s="3447"/>
      <c r="AP35" s="3447"/>
      <c r="AQ35" s="3450"/>
    </row>
    <row r="36" spans="1:43" ht="30.75" customHeight="1" x14ac:dyDescent="0.2">
      <c r="A36" s="3402"/>
      <c r="B36" s="3403"/>
      <c r="C36" s="3404"/>
      <c r="D36" s="3407"/>
      <c r="E36" s="3407"/>
      <c r="F36" s="3408"/>
      <c r="G36" s="3480"/>
      <c r="H36" s="3407"/>
      <c r="I36" s="3408"/>
      <c r="J36" s="3484"/>
      <c r="K36" s="3485"/>
      <c r="L36" s="3485"/>
      <c r="M36" s="3436"/>
      <c r="N36" s="2437"/>
      <c r="O36" s="3438"/>
      <c r="P36" s="3418"/>
      <c r="Q36" s="3441"/>
      <c r="R36" s="3465"/>
      <c r="S36" s="3418"/>
      <c r="T36" s="3500"/>
      <c r="U36" s="3501" t="s">
        <v>2377</v>
      </c>
      <c r="V36" s="3471">
        <v>14590000</v>
      </c>
      <c r="W36" s="3472">
        <v>20</v>
      </c>
      <c r="X36" s="3473" t="s">
        <v>1850</v>
      </c>
      <c r="Y36" s="3467"/>
      <c r="Z36" s="3462"/>
      <c r="AA36" s="3462"/>
      <c r="AB36" s="3462"/>
      <c r="AC36" s="3462"/>
      <c r="AD36" s="3454"/>
      <c r="AE36" s="3493"/>
      <c r="AF36" s="2426"/>
      <c r="AG36" s="2426"/>
      <c r="AH36" s="2426"/>
      <c r="AI36" s="2426"/>
      <c r="AJ36" s="2426"/>
      <c r="AK36" s="2426"/>
      <c r="AL36" s="2426"/>
      <c r="AM36" s="2426"/>
      <c r="AN36" s="3462"/>
      <c r="AO36" s="3447"/>
      <c r="AP36" s="3447"/>
      <c r="AQ36" s="3450"/>
    </row>
    <row r="37" spans="1:43" ht="32.25" customHeight="1" x14ac:dyDescent="0.2">
      <c r="A37" s="3402"/>
      <c r="B37" s="3403"/>
      <c r="C37" s="3404"/>
      <c r="D37" s="3407"/>
      <c r="E37" s="3407"/>
      <c r="F37" s="3408"/>
      <c r="G37" s="3480"/>
      <c r="H37" s="3407"/>
      <c r="I37" s="3408"/>
      <c r="J37" s="3484"/>
      <c r="K37" s="3485"/>
      <c r="L37" s="3485"/>
      <c r="M37" s="3436"/>
      <c r="N37" s="2437"/>
      <c r="O37" s="3438"/>
      <c r="P37" s="3418"/>
      <c r="Q37" s="3441"/>
      <c r="R37" s="3465"/>
      <c r="S37" s="3418"/>
      <c r="T37" s="3500"/>
      <c r="U37" s="3501"/>
      <c r="V37" s="3471"/>
      <c r="W37" s="3472"/>
      <c r="X37" s="3473"/>
      <c r="Y37" s="3467"/>
      <c r="Z37" s="3462"/>
      <c r="AA37" s="3462"/>
      <c r="AB37" s="3462"/>
      <c r="AC37" s="3462"/>
      <c r="AD37" s="3454"/>
      <c r="AE37" s="3493"/>
      <c r="AF37" s="2426"/>
      <c r="AG37" s="2426"/>
      <c r="AH37" s="2426"/>
      <c r="AI37" s="2426"/>
      <c r="AJ37" s="2426"/>
      <c r="AK37" s="2426"/>
      <c r="AL37" s="2426"/>
      <c r="AM37" s="2426"/>
      <c r="AN37" s="3462"/>
      <c r="AO37" s="3447"/>
      <c r="AP37" s="3447"/>
      <c r="AQ37" s="3450"/>
    </row>
    <row r="38" spans="1:43" ht="33" customHeight="1" x14ac:dyDescent="0.2">
      <c r="A38" s="3402"/>
      <c r="B38" s="3403"/>
      <c r="C38" s="3404"/>
      <c r="D38" s="3407"/>
      <c r="E38" s="3407"/>
      <c r="F38" s="3408"/>
      <c r="G38" s="3480"/>
      <c r="H38" s="3407"/>
      <c r="I38" s="3408"/>
      <c r="J38" s="3484"/>
      <c r="K38" s="3485"/>
      <c r="L38" s="3485"/>
      <c r="M38" s="3436"/>
      <c r="N38" s="2437"/>
      <c r="O38" s="3438"/>
      <c r="P38" s="3418"/>
      <c r="Q38" s="3486"/>
      <c r="R38" s="3465"/>
      <c r="S38" s="3418"/>
      <c r="T38" s="3500"/>
      <c r="U38" s="3501"/>
      <c r="V38" s="3471"/>
      <c r="W38" s="3472"/>
      <c r="X38" s="3473"/>
      <c r="Y38" s="3467"/>
      <c r="Z38" s="3462"/>
      <c r="AA38" s="3462"/>
      <c r="AB38" s="3462"/>
      <c r="AC38" s="3462"/>
      <c r="AD38" s="3454"/>
      <c r="AE38" s="3493"/>
      <c r="AF38" s="2426"/>
      <c r="AG38" s="2426"/>
      <c r="AH38" s="2426"/>
      <c r="AI38" s="2426"/>
      <c r="AJ38" s="2426"/>
      <c r="AK38" s="2426"/>
      <c r="AL38" s="2426"/>
      <c r="AM38" s="2426"/>
      <c r="AN38" s="3462"/>
      <c r="AO38" s="3447"/>
      <c r="AP38" s="3447"/>
      <c r="AQ38" s="3450"/>
    </row>
    <row r="39" spans="1:43" ht="29.25" customHeight="1" x14ac:dyDescent="0.2">
      <c r="A39" s="3402"/>
      <c r="B39" s="3403"/>
      <c r="C39" s="3404"/>
      <c r="D39" s="3407"/>
      <c r="E39" s="3407"/>
      <c r="F39" s="3408"/>
      <c r="G39" s="3480"/>
      <c r="H39" s="3407"/>
      <c r="I39" s="3408"/>
      <c r="J39" s="3484">
        <v>43</v>
      </c>
      <c r="K39" s="3485" t="s">
        <v>2378</v>
      </c>
      <c r="L39" s="3485" t="s">
        <v>2379</v>
      </c>
      <c r="M39" s="3436">
        <v>3</v>
      </c>
      <c r="N39" s="2437"/>
      <c r="O39" s="3438"/>
      <c r="P39" s="3418"/>
      <c r="Q39" s="3496">
        <f>(V39)/R33</f>
        <v>8.2711085582998278E-2</v>
      </c>
      <c r="R39" s="3465"/>
      <c r="S39" s="3418"/>
      <c r="T39" s="3498" t="s">
        <v>2380</v>
      </c>
      <c r="U39" s="3501" t="s">
        <v>2381</v>
      </c>
      <c r="V39" s="3471">
        <v>28800000</v>
      </c>
      <c r="W39" s="3472">
        <v>20</v>
      </c>
      <c r="X39" s="3473" t="s">
        <v>1850</v>
      </c>
      <c r="Y39" s="3467"/>
      <c r="Z39" s="3462"/>
      <c r="AA39" s="3462"/>
      <c r="AB39" s="3462"/>
      <c r="AC39" s="3462"/>
      <c r="AD39" s="3454"/>
      <c r="AE39" s="3493"/>
      <c r="AF39" s="2426"/>
      <c r="AG39" s="2426"/>
      <c r="AH39" s="2426"/>
      <c r="AI39" s="2426"/>
      <c r="AJ39" s="2426"/>
      <c r="AK39" s="2426"/>
      <c r="AL39" s="2426"/>
      <c r="AM39" s="2426"/>
      <c r="AN39" s="3462"/>
      <c r="AO39" s="3447"/>
      <c r="AP39" s="3447"/>
      <c r="AQ39" s="3450"/>
    </row>
    <row r="40" spans="1:43" ht="13.5" customHeight="1" x14ac:dyDescent="0.2">
      <c r="A40" s="3402"/>
      <c r="B40" s="3403"/>
      <c r="C40" s="3404"/>
      <c r="D40" s="3407"/>
      <c r="E40" s="3407"/>
      <c r="F40" s="3408"/>
      <c r="G40" s="3480"/>
      <c r="H40" s="3407"/>
      <c r="I40" s="3408"/>
      <c r="J40" s="3484"/>
      <c r="K40" s="3485"/>
      <c r="L40" s="3485"/>
      <c r="M40" s="3436"/>
      <c r="N40" s="3438" t="s">
        <v>2382</v>
      </c>
      <c r="O40" s="3438"/>
      <c r="P40" s="3418"/>
      <c r="Q40" s="3496"/>
      <c r="R40" s="3465"/>
      <c r="S40" s="3418"/>
      <c r="T40" s="3498"/>
      <c r="U40" s="3501"/>
      <c r="V40" s="3471"/>
      <c r="W40" s="3472"/>
      <c r="X40" s="3473"/>
      <c r="Y40" s="3467"/>
      <c r="Z40" s="3462"/>
      <c r="AA40" s="3462"/>
      <c r="AB40" s="3462"/>
      <c r="AC40" s="3462"/>
      <c r="AD40" s="3454"/>
      <c r="AE40" s="3493"/>
      <c r="AF40" s="2426"/>
      <c r="AG40" s="2426"/>
      <c r="AH40" s="2426"/>
      <c r="AI40" s="2426"/>
      <c r="AJ40" s="2426"/>
      <c r="AK40" s="2426"/>
      <c r="AL40" s="2426"/>
      <c r="AM40" s="2426"/>
      <c r="AN40" s="3462"/>
      <c r="AO40" s="3447"/>
      <c r="AP40" s="3447"/>
      <c r="AQ40" s="3450"/>
    </row>
    <row r="41" spans="1:43" ht="27.75" customHeight="1" x14ac:dyDescent="0.2">
      <c r="A41" s="3402"/>
      <c r="B41" s="3403"/>
      <c r="C41" s="3404"/>
      <c r="D41" s="3407"/>
      <c r="E41" s="3407"/>
      <c r="F41" s="3408"/>
      <c r="G41" s="3480"/>
      <c r="H41" s="3407"/>
      <c r="I41" s="3408"/>
      <c r="J41" s="3484"/>
      <c r="K41" s="3485"/>
      <c r="L41" s="3485"/>
      <c r="M41" s="3436"/>
      <c r="N41" s="3438"/>
      <c r="O41" s="3438"/>
      <c r="P41" s="3418"/>
      <c r="Q41" s="3496"/>
      <c r="R41" s="3465"/>
      <c r="S41" s="3418"/>
      <c r="T41" s="3498"/>
      <c r="U41" s="3501"/>
      <c r="V41" s="3471"/>
      <c r="W41" s="3472"/>
      <c r="X41" s="3473"/>
      <c r="Y41" s="3467"/>
      <c r="Z41" s="3462"/>
      <c r="AA41" s="3462"/>
      <c r="AB41" s="3462"/>
      <c r="AC41" s="3462"/>
      <c r="AD41" s="3454"/>
      <c r="AE41" s="3493"/>
      <c r="AF41" s="2426"/>
      <c r="AG41" s="2426"/>
      <c r="AH41" s="2426"/>
      <c r="AI41" s="2426"/>
      <c r="AJ41" s="2426"/>
      <c r="AK41" s="2426"/>
      <c r="AL41" s="2426"/>
      <c r="AM41" s="2426"/>
      <c r="AN41" s="3462"/>
      <c r="AO41" s="3447"/>
      <c r="AP41" s="3447"/>
      <c r="AQ41" s="3450"/>
    </row>
    <row r="42" spans="1:43" ht="27.75" customHeight="1" x14ac:dyDescent="0.2">
      <c r="A42" s="3402"/>
      <c r="B42" s="3403"/>
      <c r="C42" s="3404"/>
      <c r="D42" s="3407"/>
      <c r="E42" s="3407"/>
      <c r="F42" s="3408"/>
      <c r="G42" s="3480"/>
      <c r="H42" s="3407"/>
      <c r="I42" s="3408"/>
      <c r="J42" s="3484"/>
      <c r="K42" s="3485"/>
      <c r="L42" s="3485"/>
      <c r="M42" s="3436"/>
      <c r="N42" s="2437" t="s">
        <v>2383</v>
      </c>
      <c r="O42" s="3438"/>
      <c r="P42" s="3418"/>
      <c r="Q42" s="3496"/>
      <c r="R42" s="3465"/>
      <c r="S42" s="3418"/>
      <c r="T42" s="3498"/>
      <c r="U42" s="3501"/>
      <c r="V42" s="3471"/>
      <c r="W42" s="3472"/>
      <c r="X42" s="3473"/>
      <c r="Y42" s="3467"/>
      <c r="Z42" s="3462"/>
      <c r="AA42" s="3462"/>
      <c r="AB42" s="3462"/>
      <c r="AC42" s="3462"/>
      <c r="AD42" s="3454"/>
      <c r="AE42" s="3493"/>
      <c r="AF42" s="2426"/>
      <c r="AG42" s="2426"/>
      <c r="AH42" s="2426"/>
      <c r="AI42" s="2426"/>
      <c r="AJ42" s="2426"/>
      <c r="AK42" s="2426"/>
      <c r="AL42" s="2426"/>
      <c r="AM42" s="2426"/>
      <c r="AN42" s="3462"/>
      <c r="AO42" s="3447"/>
      <c r="AP42" s="3447"/>
      <c r="AQ42" s="3450"/>
    </row>
    <row r="43" spans="1:43" ht="39.75" customHeight="1" x14ac:dyDescent="0.2">
      <c r="A43" s="3402"/>
      <c r="B43" s="3403"/>
      <c r="C43" s="3404"/>
      <c r="D43" s="3407"/>
      <c r="E43" s="3407"/>
      <c r="F43" s="3408"/>
      <c r="G43" s="3480"/>
      <c r="H43" s="3407"/>
      <c r="I43" s="3408"/>
      <c r="J43" s="3484">
        <v>45</v>
      </c>
      <c r="K43" s="3485" t="s">
        <v>2384</v>
      </c>
      <c r="L43" s="3485" t="s">
        <v>2379</v>
      </c>
      <c r="M43" s="3436">
        <v>4</v>
      </c>
      <c r="N43" s="2429"/>
      <c r="O43" s="3438"/>
      <c r="P43" s="3418"/>
      <c r="Q43" s="3496">
        <f>(V43)/R33</f>
        <v>0.2828834003446295</v>
      </c>
      <c r="R43" s="3465"/>
      <c r="S43" s="3418"/>
      <c r="T43" s="3499"/>
      <c r="U43" s="3497" t="s">
        <v>2385</v>
      </c>
      <c r="V43" s="3474">
        <v>98500000</v>
      </c>
      <c r="W43" s="3454">
        <v>20</v>
      </c>
      <c r="X43" s="3438" t="s">
        <v>1850</v>
      </c>
      <c r="Y43" s="3462"/>
      <c r="Z43" s="3462"/>
      <c r="AA43" s="3462"/>
      <c r="AB43" s="3462"/>
      <c r="AC43" s="3462"/>
      <c r="AD43" s="3454"/>
      <c r="AE43" s="3493"/>
      <c r="AF43" s="2426"/>
      <c r="AG43" s="2426"/>
      <c r="AH43" s="2426"/>
      <c r="AI43" s="2426"/>
      <c r="AJ43" s="2426"/>
      <c r="AK43" s="2426"/>
      <c r="AL43" s="2426"/>
      <c r="AM43" s="2426"/>
      <c r="AN43" s="3462"/>
      <c r="AO43" s="3447"/>
      <c r="AP43" s="3447"/>
      <c r="AQ43" s="3450"/>
    </row>
    <row r="44" spans="1:43" ht="51" customHeight="1" x14ac:dyDescent="0.2">
      <c r="A44" s="3402"/>
      <c r="B44" s="3403"/>
      <c r="C44" s="3404"/>
      <c r="D44" s="3407"/>
      <c r="E44" s="3407"/>
      <c r="F44" s="3408"/>
      <c r="G44" s="3480"/>
      <c r="H44" s="3407"/>
      <c r="I44" s="3408"/>
      <c r="J44" s="3484"/>
      <c r="K44" s="3485"/>
      <c r="L44" s="3485"/>
      <c r="M44" s="3436"/>
      <c r="N44" s="2437"/>
      <c r="O44" s="3438"/>
      <c r="P44" s="3418"/>
      <c r="Q44" s="3496"/>
      <c r="R44" s="3465"/>
      <c r="S44" s="3418"/>
      <c r="T44" s="3499"/>
      <c r="U44" s="3498"/>
      <c r="V44" s="3453"/>
      <c r="W44" s="3454"/>
      <c r="X44" s="3438"/>
      <c r="Y44" s="3462"/>
      <c r="Z44" s="3462"/>
      <c r="AA44" s="3462"/>
      <c r="AB44" s="3462"/>
      <c r="AC44" s="3462"/>
      <c r="AD44" s="3454"/>
      <c r="AE44" s="3493"/>
      <c r="AF44" s="2426"/>
      <c r="AG44" s="2426"/>
      <c r="AH44" s="2426"/>
      <c r="AI44" s="2426"/>
      <c r="AJ44" s="2426"/>
      <c r="AK44" s="2426"/>
      <c r="AL44" s="2426"/>
      <c r="AM44" s="2426"/>
      <c r="AN44" s="3462"/>
      <c r="AO44" s="3447"/>
      <c r="AP44" s="3447"/>
      <c r="AQ44" s="3450"/>
    </row>
    <row r="45" spans="1:43" ht="8.25" customHeight="1" x14ac:dyDescent="0.2">
      <c r="A45" s="3402"/>
      <c r="B45" s="3403"/>
      <c r="C45" s="3404"/>
      <c r="D45" s="3407"/>
      <c r="E45" s="3407"/>
      <c r="F45" s="3408"/>
      <c r="G45" s="3480"/>
      <c r="H45" s="3407"/>
      <c r="I45" s="3408"/>
      <c r="J45" s="3484"/>
      <c r="K45" s="3485"/>
      <c r="L45" s="3485"/>
      <c r="M45" s="3436"/>
      <c r="N45" s="2437"/>
      <c r="O45" s="3438"/>
      <c r="P45" s="3418"/>
      <c r="Q45" s="3496"/>
      <c r="R45" s="3465"/>
      <c r="S45" s="3418"/>
      <c r="T45" s="3499"/>
      <c r="U45" s="3498"/>
      <c r="V45" s="3453"/>
      <c r="W45" s="3454"/>
      <c r="X45" s="3438"/>
      <c r="Y45" s="3462"/>
      <c r="Z45" s="3462"/>
      <c r="AA45" s="3462"/>
      <c r="AB45" s="3462"/>
      <c r="AC45" s="3462"/>
      <c r="AD45" s="3454"/>
      <c r="AE45" s="3493"/>
      <c r="AF45" s="2426"/>
      <c r="AG45" s="2426"/>
      <c r="AH45" s="2426"/>
      <c r="AI45" s="2426"/>
      <c r="AJ45" s="2426"/>
      <c r="AK45" s="2426"/>
      <c r="AL45" s="2426"/>
      <c r="AM45" s="2426"/>
      <c r="AN45" s="3462"/>
      <c r="AO45" s="3447"/>
      <c r="AP45" s="3447"/>
      <c r="AQ45" s="3450"/>
    </row>
    <row r="46" spans="1:43" ht="21.75" customHeight="1" x14ac:dyDescent="0.2">
      <c r="A46" s="3402"/>
      <c r="B46" s="3403"/>
      <c r="C46" s="3404"/>
      <c r="D46" s="3407"/>
      <c r="E46" s="3407"/>
      <c r="F46" s="3408"/>
      <c r="G46" s="3480"/>
      <c r="H46" s="3407"/>
      <c r="I46" s="3408"/>
      <c r="J46" s="3484"/>
      <c r="K46" s="3485"/>
      <c r="L46" s="3485"/>
      <c r="M46" s="3436"/>
      <c r="N46" s="2437"/>
      <c r="O46" s="3438"/>
      <c r="P46" s="3418"/>
      <c r="Q46" s="3496"/>
      <c r="R46" s="3465"/>
      <c r="S46" s="3418"/>
      <c r="T46" s="3499"/>
      <c r="U46" s="3498"/>
      <c r="V46" s="3464"/>
      <c r="W46" s="3454"/>
      <c r="X46" s="3438"/>
      <c r="Y46" s="3462"/>
      <c r="Z46" s="3462"/>
      <c r="AA46" s="3462"/>
      <c r="AB46" s="3462"/>
      <c r="AC46" s="3462"/>
      <c r="AD46" s="3454"/>
      <c r="AE46" s="3493"/>
      <c r="AF46" s="2426"/>
      <c r="AG46" s="2426"/>
      <c r="AH46" s="2426"/>
      <c r="AI46" s="2426"/>
      <c r="AJ46" s="2426"/>
      <c r="AK46" s="2426"/>
      <c r="AL46" s="2426"/>
      <c r="AM46" s="2426"/>
      <c r="AN46" s="3462"/>
      <c r="AO46" s="3447"/>
      <c r="AP46" s="3447"/>
      <c r="AQ46" s="3450"/>
    </row>
    <row r="47" spans="1:43" ht="34.5" customHeight="1" x14ac:dyDescent="0.2">
      <c r="A47" s="3402"/>
      <c r="B47" s="3403"/>
      <c r="C47" s="3404"/>
      <c r="D47" s="3407"/>
      <c r="E47" s="3407"/>
      <c r="F47" s="3408"/>
      <c r="G47" s="3480"/>
      <c r="H47" s="3407"/>
      <c r="I47" s="3408"/>
      <c r="J47" s="3508">
        <v>46</v>
      </c>
      <c r="K47" s="3417" t="s">
        <v>2386</v>
      </c>
      <c r="L47" s="3417" t="s">
        <v>2387</v>
      </c>
      <c r="M47" s="3437">
        <v>1</v>
      </c>
      <c r="N47" s="2437"/>
      <c r="O47" s="3438"/>
      <c r="P47" s="3418"/>
      <c r="Q47" s="3440">
        <f>SUM(V47:V50)/R33</f>
        <v>0.43078690407811604</v>
      </c>
      <c r="R47" s="3465"/>
      <c r="S47" s="3418"/>
      <c r="T47" s="3499"/>
      <c r="U47" s="3468" t="s">
        <v>2388</v>
      </c>
      <c r="V47" s="2430">
        <v>99400000</v>
      </c>
      <c r="W47" s="1986">
        <v>20</v>
      </c>
      <c r="X47" s="2425" t="s">
        <v>1850</v>
      </c>
      <c r="Y47" s="3467"/>
      <c r="Z47" s="3462"/>
      <c r="AA47" s="3462"/>
      <c r="AB47" s="3462"/>
      <c r="AC47" s="3462"/>
      <c r="AD47" s="3454"/>
      <c r="AE47" s="3493"/>
      <c r="AF47" s="2426"/>
      <c r="AG47" s="2426"/>
      <c r="AH47" s="2426"/>
      <c r="AI47" s="2426"/>
      <c r="AJ47" s="2426"/>
      <c r="AK47" s="2426"/>
      <c r="AL47" s="2426"/>
      <c r="AM47" s="2426"/>
      <c r="AN47" s="3462"/>
      <c r="AO47" s="3447"/>
      <c r="AP47" s="3447"/>
      <c r="AQ47" s="3450"/>
    </row>
    <row r="48" spans="1:43" ht="30.75" customHeight="1" x14ac:dyDescent="0.2">
      <c r="A48" s="3402"/>
      <c r="B48" s="3403"/>
      <c r="C48" s="3404"/>
      <c r="D48" s="3407"/>
      <c r="E48" s="3407"/>
      <c r="F48" s="3408"/>
      <c r="G48" s="3480"/>
      <c r="H48" s="3407"/>
      <c r="I48" s="3408"/>
      <c r="J48" s="3509"/>
      <c r="K48" s="3418"/>
      <c r="L48" s="3418"/>
      <c r="M48" s="3438"/>
      <c r="N48" s="2437"/>
      <c r="O48" s="3438"/>
      <c r="P48" s="3418"/>
      <c r="Q48" s="3441"/>
      <c r="R48" s="3465"/>
      <c r="S48" s="3418"/>
      <c r="T48" s="3499"/>
      <c r="U48" s="3469"/>
      <c r="V48" s="3471">
        <f>0+50600000</f>
        <v>50600000</v>
      </c>
      <c r="W48" s="3472">
        <v>88</v>
      </c>
      <c r="X48" s="3473" t="s">
        <v>2348</v>
      </c>
      <c r="Y48" s="3467"/>
      <c r="Z48" s="3462"/>
      <c r="AA48" s="3462"/>
      <c r="AB48" s="3462"/>
      <c r="AC48" s="3462"/>
      <c r="AD48" s="3454"/>
      <c r="AE48" s="3493"/>
      <c r="AF48" s="2426"/>
      <c r="AG48" s="2426"/>
      <c r="AH48" s="2426"/>
      <c r="AI48" s="2426"/>
      <c r="AJ48" s="2426"/>
      <c r="AK48" s="2426"/>
      <c r="AL48" s="2426"/>
      <c r="AM48" s="2426"/>
      <c r="AN48" s="3462"/>
      <c r="AO48" s="3447"/>
      <c r="AP48" s="3447"/>
      <c r="AQ48" s="3450"/>
    </row>
    <row r="49" spans="1:43" ht="65.25" customHeight="1" x14ac:dyDescent="0.2">
      <c r="A49" s="3402"/>
      <c r="B49" s="3403"/>
      <c r="C49" s="3404"/>
      <c r="D49" s="3407"/>
      <c r="E49" s="3407"/>
      <c r="F49" s="3408"/>
      <c r="G49" s="3480"/>
      <c r="H49" s="3407"/>
      <c r="I49" s="3408"/>
      <c r="J49" s="3509"/>
      <c r="K49" s="3418"/>
      <c r="L49" s="3418"/>
      <c r="M49" s="3438"/>
      <c r="N49" s="2437"/>
      <c r="O49" s="3438"/>
      <c r="P49" s="3418"/>
      <c r="Q49" s="3441"/>
      <c r="R49" s="3465"/>
      <c r="S49" s="3418"/>
      <c r="T49" s="3499"/>
      <c r="U49" s="3469"/>
      <c r="V49" s="3471"/>
      <c r="W49" s="3472"/>
      <c r="X49" s="3473"/>
      <c r="Y49" s="3467"/>
      <c r="Z49" s="3462"/>
      <c r="AA49" s="3462"/>
      <c r="AB49" s="3462"/>
      <c r="AC49" s="3462"/>
      <c r="AD49" s="3454"/>
      <c r="AE49" s="3493"/>
      <c r="AF49" s="2426"/>
      <c r="AG49" s="2426"/>
      <c r="AH49" s="2426"/>
      <c r="AI49" s="2426"/>
      <c r="AJ49" s="2426"/>
      <c r="AK49" s="2426"/>
      <c r="AL49" s="2426"/>
      <c r="AM49" s="2426"/>
      <c r="AN49" s="3462"/>
      <c r="AO49" s="3447"/>
      <c r="AP49" s="3447"/>
      <c r="AQ49" s="3450"/>
    </row>
    <row r="50" spans="1:43" ht="15" customHeight="1" x14ac:dyDescent="0.2">
      <c r="A50" s="3402"/>
      <c r="B50" s="3403"/>
      <c r="C50" s="3404"/>
      <c r="D50" s="3407"/>
      <c r="E50" s="3407"/>
      <c r="F50" s="3408"/>
      <c r="G50" s="3481"/>
      <c r="H50" s="3482"/>
      <c r="I50" s="3483"/>
      <c r="J50" s="3509"/>
      <c r="K50" s="3418"/>
      <c r="L50" s="3418"/>
      <c r="M50" s="3438"/>
      <c r="N50" s="2437"/>
      <c r="O50" s="3438"/>
      <c r="P50" s="3418"/>
      <c r="Q50" s="3441"/>
      <c r="R50" s="3465"/>
      <c r="S50" s="3418"/>
      <c r="T50" s="3499"/>
      <c r="U50" s="3470"/>
      <c r="V50" s="3471"/>
      <c r="W50" s="3472"/>
      <c r="X50" s="3473"/>
      <c r="Y50" s="3495"/>
      <c r="Z50" s="3463"/>
      <c r="AA50" s="3463"/>
      <c r="AB50" s="3463"/>
      <c r="AC50" s="3463"/>
      <c r="AD50" s="3475"/>
      <c r="AE50" s="3494"/>
      <c r="AF50" s="2428"/>
      <c r="AG50" s="2428"/>
      <c r="AH50" s="2428"/>
      <c r="AI50" s="2428"/>
      <c r="AJ50" s="2428"/>
      <c r="AK50" s="2428"/>
      <c r="AL50" s="2428"/>
      <c r="AM50" s="2428"/>
      <c r="AN50" s="3463"/>
      <c r="AO50" s="3448"/>
      <c r="AP50" s="3448"/>
      <c r="AQ50" s="3450"/>
    </row>
    <row r="51" spans="1:43" ht="18.75" customHeight="1" x14ac:dyDescent="0.2">
      <c r="A51" s="3402"/>
      <c r="B51" s="3403"/>
      <c r="C51" s="3404"/>
      <c r="D51" s="3407"/>
      <c r="E51" s="3407"/>
      <c r="F51" s="3408"/>
      <c r="G51" s="2008">
        <v>10</v>
      </c>
      <c r="H51" s="1972" t="s">
        <v>2389</v>
      </c>
      <c r="I51" s="1972"/>
      <c r="J51" s="2407"/>
      <c r="K51" s="2408"/>
      <c r="L51" s="2408"/>
      <c r="M51" s="2407"/>
      <c r="N51" s="2415"/>
      <c r="O51" s="2410"/>
      <c r="P51" s="2408"/>
      <c r="Q51" s="2411"/>
      <c r="R51" s="2412"/>
      <c r="S51" s="2408"/>
      <c r="T51" s="2408"/>
      <c r="U51" s="2431"/>
      <c r="V51" s="2438"/>
      <c r="W51" s="2439"/>
      <c r="X51" s="2440"/>
      <c r="Y51" s="2416"/>
      <c r="Z51" s="2416"/>
      <c r="AA51" s="2407"/>
      <c r="AB51" s="2407"/>
      <c r="AC51" s="2407"/>
      <c r="AD51" s="2407"/>
      <c r="AE51" s="2407"/>
      <c r="AF51" s="2407"/>
      <c r="AG51" s="2407"/>
      <c r="AH51" s="2407"/>
      <c r="AI51" s="2407"/>
      <c r="AJ51" s="2407"/>
      <c r="AK51" s="2407"/>
      <c r="AL51" s="2407"/>
      <c r="AM51" s="2407"/>
      <c r="AN51" s="2416"/>
      <c r="AO51" s="2435"/>
      <c r="AP51" s="2435"/>
      <c r="AQ51" s="2436"/>
    </row>
    <row r="52" spans="1:43" ht="54.75" customHeight="1" x14ac:dyDescent="0.2">
      <c r="A52" s="3402"/>
      <c r="B52" s="3403"/>
      <c r="C52" s="3404"/>
      <c r="D52" s="3407"/>
      <c r="E52" s="3407"/>
      <c r="F52" s="3408"/>
      <c r="G52" s="3502"/>
      <c r="H52" s="3503"/>
      <c r="I52" s="3504"/>
      <c r="J52" s="3508">
        <v>47</v>
      </c>
      <c r="K52" s="3417" t="s">
        <v>2390</v>
      </c>
      <c r="L52" s="3417" t="s">
        <v>2391</v>
      </c>
      <c r="M52" s="3437">
        <v>48</v>
      </c>
      <c r="N52" s="2422"/>
      <c r="O52" s="3437" t="s">
        <v>2392</v>
      </c>
      <c r="P52" s="3417" t="s">
        <v>2393</v>
      </c>
      <c r="Q52" s="3440">
        <f>(V52+V53)/R52</f>
        <v>0.43158041567861627</v>
      </c>
      <c r="R52" s="3464">
        <f>SUM(V52:V60)</f>
        <v>358450000</v>
      </c>
      <c r="S52" s="3417" t="s">
        <v>2394</v>
      </c>
      <c r="T52" s="3510" t="s">
        <v>2395</v>
      </c>
      <c r="U52" s="3501" t="s">
        <v>2396</v>
      </c>
      <c r="V52" s="2430">
        <v>54700000</v>
      </c>
      <c r="W52" s="1986">
        <v>20</v>
      </c>
      <c r="X52" s="2425" t="s">
        <v>1850</v>
      </c>
      <c r="Y52" s="3466">
        <v>294321</v>
      </c>
      <c r="Z52" s="3461">
        <v>283947</v>
      </c>
      <c r="AA52" s="3461">
        <v>135754</v>
      </c>
      <c r="AB52" s="3461">
        <v>44640</v>
      </c>
      <c r="AC52" s="3461">
        <v>308178</v>
      </c>
      <c r="AD52" s="3461"/>
      <c r="AE52" s="3476"/>
      <c r="AF52" s="2423"/>
      <c r="AG52" s="2423"/>
      <c r="AH52" s="2423"/>
      <c r="AI52" s="2423"/>
      <c r="AJ52" s="2423"/>
      <c r="AK52" s="2423"/>
      <c r="AL52" s="2423"/>
      <c r="AM52" s="2423"/>
      <c r="AN52" s="3461">
        <f>+Y52+Z52</f>
        <v>578268</v>
      </c>
      <c r="AO52" s="3446">
        <v>43467</v>
      </c>
      <c r="AP52" s="3446">
        <v>43830</v>
      </c>
      <c r="AQ52" s="3449" t="s">
        <v>2347</v>
      </c>
    </row>
    <row r="53" spans="1:43" ht="35.25" customHeight="1" x14ac:dyDescent="0.2">
      <c r="A53" s="3402"/>
      <c r="B53" s="3403"/>
      <c r="C53" s="3404"/>
      <c r="D53" s="3407"/>
      <c r="E53" s="3407"/>
      <c r="F53" s="3408"/>
      <c r="G53" s="3505"/>
      <c r="H53" s="3506"/>
      <c r="I53" s="3507"/>
      <c r="J53" s="3509"/>
      <c r="K53" s="3418"/>
      <c r="L53" s="3418"/>
      <c r="M53" s="3438"/>
      <c r="N53" s="2429"/>
      <c r="O53" s="3438"/>
      <c r="P53" s="3418"/>
      <c r="Q53" s="3441"/>
      <c r="R53" s="3465"/>
      <c r="S53" s="3418"/>
      <c r="T53" s="3500"/>
      <c r="U53" s="3501"/>
      <c r="V53" s="3471">
        <f>0+100000000</f>
        <v>100000000</v>
      </c>
      <c r="W53" s="3472">
        <v>88</v>
      </c>
      <c r="X53" s="3473" t="s">
        <v>2348</v>
      </c>
      <c r="Y53" s="3467"/>
      <c r="Z53" s="3462"/>
      <c r="AA53" s="3462"/>
      <c r="AB53" s="3462"/>
      <c r="AC53" s="3462"/>
      <c r="AD53" s="3462"/>
      <c r="AE53" s="3477"/>
      <c r="AF53" s="2426"/>
      <c r="AG53" s="2426"/>
      <c r="AH53" s="2426"/>
      <c r="AI53" s="2426"/>
      <c r="AJ53" s="2426"/>
      <c r="AK53" s="2426"/>
      <c r="AL53" s="2426"/>
      <c r="AM53" s="2426"/>
      <c r="AN53" s="3462"/>
      <c r="AO53" s="3447"/>
      <c r="AP53" s="3447"/>
      <c r="AQ53" s="3450"/>
    </row>
    <row r="54" spans="1:43" ht="88.5" customHeight="1" x14ac:dyDescent="0.2">
      <c r="A54" s="3402"/>
      <c r="B54" s="3403"/>
      <c r="C54" s="3404"/>
      <c r="D54" s="3407"/>
      <c r="E54" s="3407"/>
      <c r="F54" s="3408"/>
      <c r="G54" s="3505"/>
      <c r="H54" s="3506"/>
      <c r="I54" s="3507"/>
      <c r="J54" s="3509"/>
      <c r="K54" s="3418"/>
      <c r="L54" s="3418"/>
      <c r="M54" s="3438"/>
      <c r="N54" s="2429"/>
      <c r="O54" s="3438"/>
      <c r="P54" s="3418"/>
      <c r="Q54" s="3441"/>
      <c r="R54" s="3465"/>
      <c r="S54" s="3418"/>
      <c r="T54" s="3500"/>
      <c r="U54" s="3501"/>
      <c r="V54" s="3471"/>
      <c r="W54" s="3472"/>
      <c r="X54" s="3473"/>
      <c r="Y54" s="3467"/>
      <c r="Z54" s="3462"/>
      <c r="AA54" s="3462"/>
      <c r="AB54" s="3462"/>
      <c r="AC54" s="3462"/>
      <c r="AD54" s="3462"/>
      <c r="AE54" s="3477"/>
      <c r="AF54" s="2426"/>
      <c r="AG54" s="2426"/>
      <c r="AH54" s="2426"/>
      <c r="AI54" s="2426"/>
      <c r="AJ54" s="2426"/>
      <c r="AK54" s="2426"/>
      <c r="AL54" s="2426"/>
      <c r="AM54" s="2426"/>
      <c r="AN54" s="3462"/>
      <c r="AO54" s="3447"/>
      <c r="AP54" s="3447"/>
      <c r="AQ54" s="3450"/>
    </row>
    <row r="55" spans="1:43" ht="36" customHeight="1" x14ac:dyDescent="0.2">
      <c r="A55" s="3402"/>
      <c r="B55" s="3403"/>
      <c r="C55" s="3404"/>
      <c r="D55" s="3407"/>
      <c r="E55" s="3407"/>
      <c r="F55" s="3408"/>
      <c r="G55" s="3505"/>
      <c r="H55" s="3506"/>
      <c r="I55" s="3507"/>
      <c r="J55" s="3508">
        <v>48</v>
      </c>
      <c r="K55" s="3417" t="s">
        <v>2397</v>
      </c>
      <c r="L55" s="3417" t="s">
        <v>2398</v>
      </c>
      <c r="M55" s="3437">
        <v>1</v>
      </c>
      <c r="N55" s="2429" t="s">
        <v>2399</v>
      </c>
      <c r="O55" s="3438"/>
      <c r="P55" s="3418"/>
      <c r="Q55" s="3440">
        <f>(V55)/R52</f>
        <v>0.55795787418049936</v>
      </c>
      <c r="R55" s="3465"/>
      <c r="S55" s="3418"/>
      <c r="T55" s="3428" t="s">
        <v>2400</v>
      </c>
      <c r="U55" s="3469" t="s">
        <v>2401</v>
      </c>
      <c r="V55" s="3474">
        <f>198750000+1250000</f>
        <v>200000000</v>
      </c>
      <c r="W55" s="3454">
        <v>20</v>
      </c>
      <c r="X55" s="3438" t="s">
        <v>1850</v>
      </c>
      <c r="Y55" s="3462"/>
      <c r="Z55" s="3462"/>
      <c r="AA55" s="3462"/>
      <c r="AB55" s="3462"/>
      <c r="AC55" s="3462"/>
      <c r="AD55" s="3462"/>
      <c r="AE55" s="3477"/>
      <c r="AF55" s="2426"/>
      <c r="AG55" s="2426"/>
      <c r="AH55" s="2426"/>
      <c r="AI55" s="2426"/>
      <c r="AJ55" s="2426"/>
      <c r="AK55" s="2426"/>
      <c r="AL55" s="2426"/>
      <c r="AM55" s="2426"/>
      <c r="AN55" s="3462"/>
      <c r="AO55" s="3447"/>
      <c r="AP55" s="3447"/>
      <c r="AQ55" s="3450"/>
    </row>
    <row r="56" spans="1:43" ht="18" customHeight="1" x14ac:dyDescent="0.2">
      <c r="A56" s="3402"/>
      <c r="B56" s="3403"/>
      <c r="C56" s="3404"/>
      <c r="D56" s="3407"/>
      <c r="E56" s="3407"/>
      <c r="F56" s="3408"/>
      <c r="G56" s="3505"/>
      <c r="H56" s="3506"/>
      <c r="I56" s="3507"/>
      <c r="J56" s="3509"/>
      <c r="K56" s="3418"/>
      <c r="L56" s="3418"/>
      <c r="M56" s="3438"/>
      <c r="N56" s="2429"/>
      <c r="O56" s="3438"/>
      <c r="P56" s="3418"/>
      <c r="Q56" s="3441"/>
      <c r="R56" s="3465"/>
      <c r="S56" s="3418"/>
      <c r="T56" s="3429"/>
      <c r="U56" s="3469"/>
      <c r="V56" s="3453"/>
      <c r="W56" s="3454"/>
      <c r="X56" s="3438"/>
      <c r="Y56" s="3462"/>
      <c r="Z56" s="3462"/>
      <c r="AA56" s="3462"/>
      <c r="AB56" s="3462"/>
      <c r="AC56" s="3462"/>
      <c r="AD56" s="3462"/>
      <c r="AE56" s="3477"/>
      <c r="AF56" s="2426"/>
      <c r="AG56" s="2426"/>
      <c r="AH56" s="2426"/>
      <c r="AI56" s="2426"/>
      <c r="AJ56" s="2426"/>
      <c r="AK56" s="2426"/>
      <c r="AL56" s="2426"/>
      <c r="AM56" s="2426"/>
      <c r="AN56" s="3462"/>
      <c r="AO56" s="3447"/>
      <c r="AP56" s="3447"/>
      <c r="AQ56" s="3450"/>
    </row>
    <row r="57" spans="1:43" ht="28.5" customHeight="1" x14ac:dyDescent="0.2">
      <c r="A57" s="3402"/>
      <c r="B57" s="3403"/>
      <c r="C57" s="3404"/>
      <c r="D57" s="3407"/>
      <c r="E57" s="3407"/>
      <c r="F57" s="3408"/>
      <c r="G57" s="3505"/>
      <c r="H57" s="3506"/>
      <c r="I57" s="3507"/>
      <c r="J57" s="3509"/>
      <c r="K57" s="3418"/>
      <c r="L57" s="3418"/>
      <c r="M57" s="3438"/>
      <c r="N57" s="2429" t="s">
        <v>2402</v>
      </c>
      <c r="O57" s="3438"/>
      <c r="P57" s="3418"/>
      <c r="Q57" s="3441"/>
      <c r="R57" s="3465"/>
      <c r="S57" s="3418"/>
      <c r="T57" s="3429"/>
      <c r="U57" s="3470"/>
      <c r="V57" s="3453"/>
      <c r="W57" s="3475"/>
      <c r="X57" s="3438"/>
      <c r="Y57" s="3462"/>
      <c r="Z57" s="3462"/>
      <c r="AA57" s="3462"/>
      <c r="AB57" s="3462"/>
      <c r="AC57" s="3462"/>
      <c r="AD57" s="3462"/>
      <c r="AE57" s="3477"/>
      <c r="AF57" s="2426"/>
      <c r="AG57" s="2426"/>
      <c r="AH57" s="2426"/>
      <c r="AI57" s="2426"/>
      <c r="AJ57" s="2426"/>
      <c r="AK57" s="2426"/>
      <c r="AL57" s="2426"/>
      <c r="AM57" s="2426"/>
      <c r="AN57" s="3462"/>
      <c r="AO57" s="3447"/>
      <c r="AP57" s="3447"/>
      <c r="AQ57" s="3450"/>
    </row>
    <row r="58" spans="1:43" ht="53.25" customHeight="1" x14ac:dyDescent="0.2">
      <c r="A58" s="3402"/>
      <c r="B58" s="3403"/>
      <c r="C58" s="3404"/>
      <c r="D58" s="3407"/>
      <c r="E58" s="3407"/>
      <c r="F58" s="3408"/>
      <c r="G58" s="3505"/>
      <c r="H58" s="3506"/>
      <c r="I58" s="3507"/>
      <c r="J58" s="3508">
        <v>49</v>
      </c>
      <c r="K58" s="3417" t="s">
        <v>2403</v>
      </c>
      <c r="L58" s="3417" t="s">
        <v>2404</v>
      </c>
      <c r="M58" s="3437">
        <v>1</v>
      </c>
      <c r="N58" s="2429"/>
      <c r="O58" s="3438"/>
      <c r="P58" s="3418"/>
      <c r="Q58" s="3440">
        <f>(V58)/R52</f>
        <v>1.0461710140884364E-2</v>
      </c>
      <c r="R58" s="3465"/>
      <c r="S58" s="3418"/>
      <c r="T58" s="3429"/>
      <c r="U58" s="3468" t="s">
        <v>2405</v>
      </c>
      <c r="V58" s="3453">
        <f>5000000-1250000</f>
        <v>3750000</v>
      </c>
      <c r="W58" s="3457">
        <v>20</v>
      </c>
      <c r="X58" s="3437" t="s">
        <v>1850</v>
      </c>
      <c r="Y58" s="3462"/>
      <c r="Z58" s="3462"/>
      <c r="AA58" s="3462"/>
      <c r="AB58" s="3462"/>
      <c r="AC58" s="3462"/>
      <c r="AD58" s="3462"/>
      <c r="AE58" s="3477"/>
      <c r="AF58" s="2426"/>
      <c r="AG58" s="2426"/>
      <c r="AH58" s="2426"/>
      <c r="AI58" s="2426"/>
      <c r="AJ58" s="2426"/>
      <c r="AK58" s="2426"/>
      <c r="AL58" s="2426"/>
      <c r="AM58" s="2426"/>
      <c r="AN58" s="3462"/>
      <c r="AO58" s="3447"/>
      <c r="AP58" s="3447"/>
      <c r="AQ58" s="3450"/>
    </row>
    <row r="59" spans="1:43" ht="79.5" customHeight="1" x14ac:dyDescent="0.2">
      <c r="A59" s="3402"/>
      <c r="B59" s="3403"/>
      <c r="C59" s="3404"/>
      <c r="D59" s="3407"/>
      <c r="E59" s="3407"/>
      <c r="F59" s="3408"/>
      <c r="G59" s="3505"/>
      <c r="H59" s="3506"/>
      <c r="I59" s="3507"/>
      <c r="J59" s="3509"/>
      <c r="K59" s="3418"/>
      <c r="L59" s="3418"/>
      <c r="M59" s="3438"/>
      <c r="N59" s="2429"/>
      <c r="O59" s="3438"/>
      <c r="P59" s="3418"/>
      <c r="Q59" s="3441"/>
      <c r="R59" s="3465"/>
      <c r="S59" s="3418"/>
      <c r="T59" s="3429"/>
      <c r="U59" s="3469"/>
      <c r="V59" s="3453"/>
      <c r="W59" s="3454"/>
      <c r="X59" s="3438"/>
      <c r="Y59" s="3462"/>
      <c r="Z59" s="3462"/>
      <c r="AA59" s="3462"/>
      <c r="AB59" s="3462"/>
      <c r="AC59" s="3462"/>
      <c r="AD59" s="3462"/>
      <c r="AE59" s="3477"/>
      <c r="AF59" s="2426"/>
      <c r="AG59" s="2426"/>
      <c r="AH59" s="2426"/>
      <c r="AI59" s="2426"/>
      <c r="AJ59" s="2426"/>
      <c r="AK59" s="2426"/>
      <c r="AL59" s="2426"/>
      <c r="AM59" s="2426"/>
      <c r="AN59" s="3462"/>
      <c r="AO59" s="3447"/>
      <c r="AP59" s="3447"/>
      <c r="AQ59" s="3450"/>
    </row>
    <row r="60" spans="1:43" ht="20.25" customHeight="1" x14ac:dyDescent="0.2">
      <c r="A60" s="3402"/>
      <c r="B60" s="3403"/>
      <c r="C60" s="3404"/>
      <c r="D60" s="3407"/>
      <c r="E60" s="3407"/>
      <c r="F60" s="3408"/>
      <c r="G60" s="3505"/>
      <c r="H60" s="3506"/>
      <c r="I60" s="3507"/>
      <c r="J60" s="3511"/>
      <c r="K60" s="3431"/>
      <c r="L60" s="3431"/>
      <c r="M60" s="3439"/>
      <c r="N60" s="2441"/>
      <c r="O60" s="3439"/>
      <c r="P60" s="3431"/>
      <c r="Q60" s="3486"/>
      <c r="R60" s="3474"/>
      <c r="S60" s="3431"/>
      <c r="T60" s="3430"/>
      <c r="U60" s="3470"/>
      <c r="V60" s="3453"/>
      <c r="W60" s="3475"/>
      <c r="X60" s="3438"/>
      <c r="Y60" s="3463"/>
      <c r="Z60" s="3463"/>
      <c r="AA60" s="3463"/>
      <c r="AB60" s="3463"/>
      <c r="AC60" s="3463"/>
      <c r="AD60" s="3463"/>
      <c r="AE60" s="3478"/>
      <c r="AF60" s="2428"/>
      <c r="AG60" s="2428"/>
      <c r="AH60" s="2428"/>
      <c r="AI60" s="2428"/>
      <c r="AJ60" s="2428"/>
      <c r="AK60" s="2428"/>
      <c r="AL60" s="2428"/>
      <c r="AM60" s="2428"/>
      <c r="AN60" s="3463"/>
      <c r="AO60" s="3448"/>
      <c r="AP60" s="3448"/>
      <c r="AQ60" s="3451"/>
    </row>
    <row r="61" spans="1:43" ht="21" customHeight="1" x14ac:dyDescent="0.2">
      <c r="A61" s="3402"/>
      <c r="B61" s="3403"/>
      <c r="C61" s="3404"/>
      <c r="D61" s="2394">
        <v>3</v>
      </c>
      <c r="E61" s="1964" t="s">
        <v>2406</v>
      </c>
      <c r="F61" s="1964"/>
      <c r="G61" s="1964"/>
      <c r="H61" s="1964"/>
      <c r="I61" s="1964"/>
      <c r="J61" s="2395"/>
      <c r="K61" s="2396"/>
      <c r="L61" s="2396"/>
      <c r="M61" s="2395"/>
      <c r="N61" s="2402"/>
      <c r="O61" s="2397"/>
      <c r="P61" s="2396"/>
      <c r="Q61" s="2398"/>
      <c r="R61" s="2399"/>
      <c r="S61" s="2396"/>
      <c r="T61" s="2396"/>
      <c r="U61" s="2396"/>
      <c r="V61" s="1966"/>
      <c r="W61" s="2401"/>
      <c r="X61" s="2402"/>
      <c r="Y61" s="2403"/>
      <c r="Z61" s="2403"/>
      <c r="AA61" s="2395"/>
      <c r="AB61" s="2395"/>
      <c r="AC61" s="2395"/>
      <c r="AD61" s="2395"/>
      <c r="AE61" s="2395"/>
      <c r="AF61" s="2395"/>
      <c r="AG61" s="2395"/>
      <c r="AH61" s="2395"/>
      <c r="AI61" s="2395"/>
      <c r="AJ61" s="2395"/>
      <c r="AK61" s="2395"/>
      <c r="AL61" s="2395"/>
      <c r="AM61" s="2395"/>
      <c r="AN61" s="2403"/>
      <c r="AO61" s="2442"/>
      <c r="AP61" s="2442"/>
      <c r="AQ61" s="2443"/>
    </row>
    <row r="62" spans="1:43" ht="24.75" customHeight="1" x14ac:dyDescent="0.2">
      <c r="A62" s="3402"/>
      <c r="B62" s="3403"/>
      <c r="C62" s="3404"/>
      <c r="D62" s="3513"/>
      <c r="E62" s="3514"/>
      <c r="F62" s="3515"/>
      <c r="G62" s="2008">
        <v>11</v>
      </c>
      <c r="H62" s="1972" t="s">
        <v>2407</v>
      </c>
      <c r="I62" s="1972"/>
      <c r="J62" s="2407"/>
      <c r="K62" s="2408"/>
      <c r="L62" s="2408"/>
      <c r="M62" s="2407"/>
      <c r="N62" s="2415"/>
      <c r="O62" s="2410"/>
      <c r="P62" s="2408"/>
      <c r="Q62" s="2411"/>
      <c r="R62" s="2412"/>
      <c r="S62" s="2408"/>
      <c r="T62" s="2408"/>
      <c r="U62" s="2408"/>
      <c r="V62" s="2432"/>
      <c r="W62" s="2414"/>
      <c r="X62" s="2415"/>
      <c r="Y62" s="2416"/>
      <c r="Z62" s="2416"/>
      <c r="AA62" s="2407"/>
      <c r="AB62" s="2407"/>
      <c r="AC62" s="2407"/>
      <c r="AD62" s="2407"/>
      <c r="AE62" s="2407"/>
      <c r="AF62" s="2407"/>
      <c r="AG62" s="2407"/>
      <c r="AH62" s="2407"/>
      <c r="AI62" s="2407"/>
      <c r="AJ62" s="2407"/>
      <c r="AK62" s="2407"/>
      <c r="AL62" s="2407"/>
      <c r="AM62" s="2407"/>
      <c r="AN62" s="2416"/>
      <c r="AO62" s="2435"/>
      <c r="AP62" s="2435"/>
      <c r="AQ62" s="2436"/>
    </row>
    <row r="63" spans="1:43" ht="39" customHeight="1" x14ac:dyDescent="0.2">
      <c r="A63" s="3402"/>
      <c r="B63" s="3403"/>
      <c r="C63" s="3404"/>
      <c r="D63" s="3516"/>
      <c r="E63" s="3517"/>
      <c r="F63" s="3518"/>
      <c r="G63" s="1497"/>
      <c r="H63" s="1497"/>
      <c r="I63" s="1497"/>
      <c r="J63" s="3509">
        <v>50</v>
      </c>
      <c r="K63" s="3418" t="s">
        <v>2408</v>
      </c>
      <c r="L63" s="3418" t="s">
        <v>2409</v>
      </c>
      <c r="M63" s="3438">
        <v>3</v>
      </c>
      <c r="N63" s="3437" t="s">
        <v>2410</v>
      </c>
      <c r="O63" s="3437" t="s">
        <v>2411</v>
      </c>
      <c r="P63" s="3417" t="s">
        <v>2412</v>
      </c>
      <c r="Q63" s="3441">
        <f>(V63)/R63</f>
        <v>0.80006709158000666</v>
      </c>
      <c r="R63" s="3519">
        <f>SUM(V63:V67)</f>
        <v>149050000</v>
      </c>
      <c r="S63" s="3417" t="s">
        <v>2413</v>
      </c>
      <c r="T63" s="3428" t="s">
        <v>2414</v>
      </c>
      <c r="U63" s="3468" t="s">
        <v>2415</v>
      </c>
      <c r="V63" s="3512">
        <v>119250000</v>
      </c>
      <c r="W63" s="3457">
        <v>20</v>
      </c>
      <c r="X63" s="3436" t="s">
        <v>1850</v>
      </c>
      <c r="Y63" s="3461">
        <v>294321</v>
      </c>
      <c r="Z63" s="3461">
        <v>283947</v>
      </c>
      <c r="AA63" s="3461">
        <v>135754</v>
      </c>
      <c r="AB63" s="3461">
        <v>44640</v>
      </c>
      <c r="AC63" s="3461">
        <v>308178</v>
      </c>
      <c r="AD63" s="3457">
        <v>89696</v>
      </c>
      <c r="AE63" s="3476"/>
      <c r="AF63" s="2423"/>
      <c r="AG63" s="2423"/>
      <c r="AH63" s="2423"/>
      <c r="AI63" s="2423"/>
      <c r="AJ63" s="2423"/>
      <c r="AK63" s="2423"/>
      <c r="AL63" s="2423"/>
      <c r="AM63" s="2423"/>
      <c r="AN63" s="3461">
        <f>+Y63+Z63</f>
        <v>578268</v>
      </c>
      <c r="AO63" s="3446">
        <v>43467</v>
      </c>
      <c r="AP63" s="3446">
        <v>43830</v>
      </c>
      <c r="AQ63" s="3449" t="s">
        <v>2347</v>
      </c>
    </row>
    <row r="64" spans="1:43" ht="25.5" customHeight="1" x14ac:dyDescent="0.2">
      <c r="A64" s="3402"/>
      <c r="B64" s="3403"/>
      <c r="C64" s="3404"/>
      <c r="D64" s="3516"/>
      <c r="E64" s="3517"/>
      <c r="F64" s="3518"/>
      <c r="G64" s="1497"/>
      <c r="H64" s="1497"/>
      <c r="I64" s="1497"/>
      <c r="J64" s="3509"/>
      <c r="K64" s="3418"/>
      <c r="L64" s="3418"/>
      <c r="M64" s="3438"/>
      <c r="N64" s="3438"/>
      <c r="O64" s="3438"/>
      <c r="P64" s="3418"/>
      <c r="Q64" s="3441"/>
      <c r="R64" s="3520"/>
      <c r="S64" s="3418"/>
      <c r="T64" s="3429"/>
      <c r="U64" s="3469"/>
      <c r="V64" s="3512"/>
      <c r="W64" s="3454"/>
      <c r="X64" s="3436"/>
      <c r="Y64" s="3462"/>
      <c r="Z64" s="3462"/>
      <c r="AA64" s="3462"/>
      <c r="AB64" s="3462"/>
      <c r="AC64" s="3462"/>
      <c r="AD64" s="3454"/>
      <c r="AE64" s="3477"/>
      <c r="AF64" s="2426"/>
      <c r="AG64" s="2426"/>
      <c r="AH64" s="2426"/>
      <c r="AI64" s="2426"/>
      <c r="AJ64" s="2426"/>
      <c r="AK64" s="2426"/>
      <c r="AL64" s="2426"/>
      <c r="AM64" s="2426"/>
      <c r="AN64" s="3462"/>
      <c r="AO64" s="3447"/>
      <c r="AP64" s="3447"/>
      <c r="AQ64" s="3450"/>
    </row>
    <row r="65" spans="1:43" ht="15.75" customHeight="1" x14ac:dyDescent="0.2">
      <c r="A65" s="3402"/>
      <c r="B65" s="3403"/>
      <c r="C65" s="3404"/>
      <c r="D65" s="3516"/>
      <c r="E65" s="3517"/>
      <c r="F65" s="3518"/>
      <c r="G65" s="1497"/>
      <c r="H65" s="1497"/>
      <c r="I65" s="1497"/>
      <c r="J65" s="3509"/>
      <c r="K65" s="3418"/>
      <c r="L65" s="3418"/>
      <c r="M65" s="3438"/>
      <c r="N65" s="3438"/>
      <c r="O65" s="3438"/>
      <c r="P65" s="3418"/>
      <c r="Q65" s="3441"/>
      <c r="R65" s="3520"/>
      <c r="S65" s="3418"/>
      <c r="T65" s="3429"/>
      <c r="U65" s="3469"/>
      <c r="V65" s="3512"/>
      <c r="W65" s="3475"/>
      <c r="X65" s="3436"/>
      <c r="Y65" s="3462"/>
      <c r="Z65" s="3462"/>
      <c r="AA65" s="3462"/>
      <c r="AB65" s="3462"/>
      <c r="AC65" s="3462"/>
      <c r="AD65" s="3454"/>
      <c r="AE65" s="3477"/>
      <c r="AF65" s="2426"/>
      <c r="AG65" s="2426"/>
      <c r="AH65" s="2426"/>
      <c r="AI65" s="2426"/>
      <c r="AJ65" s="2426"/>
      <c r="AK65" s="2426"/>
      <c r="AL65" s="2426"/>
      <c r="AM65" s="2426"/>
      <c r="AN65" s="3462"/>
      <c r="AO65" s="3447"/>
      <c r="AP65" s="3447"/>
      <c r="AQ65" s="3450"/>
    </row>
    <row r="66" spans="1:43" ht="32.25" customHeight="1" x14ac:dyDescent="0.2">
      <c r="A66" s="3402"/>
      <c r="B66" s="3403"/>
      <c r="C66" s="3404"/>
      <c r="D66" s="3516"/>
      <c r="E66" s="3517"/>
      <c r="F66" s="3518"/>
      <c r="G66" s="1497"/>
      <c r="H66" s="1497"/>
      <c r="I66" s="1497"/>
      <c r="J66" s="3508">
        <v>51</v>
      </c>
      <c r="K66" s="3417" t="s">
        <v>2416</v>
      </c>
      <c r="L66" s="3417" t="s">
        <v>2417</v>
      </c>
      <c r="M66" s="3437">
        <v>1</v>
      </c>
      <c r="N66" s="3438"/>
      <c r="O66" s="3438"/>
      <c r="P66" s="3418"/>
      <c r="Q66" s="3440">
        <f>(V66)/R63</f>
        <v>0.19993290841999328</v>
      </c>
      <c r="R66" s="3520"/>
      <c r="S66" s="3418"/>
      <c r="T66" s="3429"/>
      <c r="U66" s="3468" t="s">
        <v>2418</v>
      </c>
      <c r="V66" s="3512">
        <v>29800000</v>
      </c>
      <c r="W66" s="3457">
        <v>20</v>
      </c>
      <c r="X66" s="3436" t="s">
        <v>1850</v>
      </c>
      <c r="Y66" s="3462"/>
      <c r="Z66" s="3462"/>
      <c r="AA66" s="3462"/>
      <c r="AB66" s="3462"/>
      <c r="AC66" s="3462"/>
      <c r="AD66" s="3454"/>
      <c r="AE66" s="3477"/>
      <c r="AF66" s="2426"/>
      <c r="AG66" s="2426"/>
      <c r="AH66" s="2426"/>
      <c r="AI66" s="2426"/>
      <c r="AJ66" s="2426"/>
      <c r="AK66" s="2426"/>
      <c r="AL66" s="2426"/>
      <c r="AM66" s="2426"/>
      <c r="AN66" s="3462"/>
      <c r="AO66" s="3447"/>
      <c r="AP66" s="3447"/>
      <c r="AQ66" s="3450"/>
    </row>
    <row r="67" spans="1:43" ht="65.25" customHeight="1" x14ac:dyDescent="0.2">
      <c r="A67" s="3402"/>
      <c r="B67" s="3403"/>
      <c r="C67" s="3404"/>
      <c r="D67" s="3516"/>
      <c r="E67" s="3517"/>
      <c r="F67" s="3518"/>
      <c r="G67" s="1497"/>
      <c r="H67" s="1497"/>
      <c r="I67" s="1497"/>
      <c r="J67" s="3509"/>
      <c r="K67" s="3418"/>
      <c r="L67" s="3418"/>
      <c r="M67" s="3438"/>
      <c r="N67" s="3439"/>
      <c r="O67" s="3439"/>
      <c r="P67" s="3431"/>
      <c r="Q67" s="3441"/>
      <c r="R67" s="3520"/>
      <c r="S67" s="3418"/>
      <c r="T67" s="3429"/>
      <c r="U67" s="3470"/>
      <c r="V67" s="3512"/>
      <c r="W67" s="3475"/>
      <c r="X67" s="3436"/>
      <c r="Y67" s="3463"/>
      <c r="Z67" s="3463"/>
      <c r="AA67" s="3463"/>
      <c r="AB67" s="3463"/>
      <c r="AC67" s="3463"/>
      <c r="AD67" s="3475"/>
      <c r="AE67" s="3478"/>
      <c r="AF67" s="2428"/>
      <c r="AG67" s="2428"/>
      <c r="AH67" s="2428"/>
      <c r="AI67" s="2428"/>
      <c r="AJ67" s="2428"/>
      <c r="AK67" s="2428"/>
      <c r="AL67" s="2428"/>
      <c r="AM67" s="2428"/>
      <c r="AN67" s="3463"/>
      <c r="AO67" s="3448"/>
      <c r="AP67" s="3448"/>
      <c r="AQ67" s="3451"/>
    </row>
    <row r="68" spans="1:43" ht="23.25" customHeight="1" x14ac:dyDescent="0.2">
      <c r="A68" s="3402"/>
      <c r="B68" s="3403"/>
      <c r="C68" s="3404"/>
      <c r="D68" s="3516"/>
      <c r="E68" s="3517"/>
      <c r="F68" s="3518"/>
      <c r="G68" s="2008">
        <v>12</v>
      </c>
      <c r="H68" s="1972" t="s">
        <v>2419</v>
      </c>
      <c r="I68" s="1972"/>
      <c r="J68" s="2407"/>
      <c r="K68" s="2408"/>
      <c r="L68" s="2408"/>
      <c r="M68" s="2407"/>
      <c r="N68" s="2434"/>
      <c r="O68" s="2410"/>
      <c r="P68" s="2408"/>
      <c r="Q68" s="2411"/>
      <c r="R68" s="2412"/>
      <c r="S68" s="2408"/>
      <c r="T68" s="2408"/>
      <c r="U68" s="2408"/>
      <c r="V68" s="2432"/>
      <c r="W68" s="2414"/>
      <c r="X68" s="2415"/>
      <c r="Y68" s="2416"/>
      <c r="Z68" s="2416"/>
      <c r="AA68" s="2407"/>
      <c r="AB68" s="2407"/>
      <c r="AC68" s="2407"/>
      <c r="AD68" s="2407"/>
      <c r="AE68" s="2407"/>
      <c r="AF68" s="2407"/>
      <c r="AG68" s="2407"/>
      <c r="AH68" s="2407"/>
      <c r="AI68" s="2407"/>
      <c r="AJ68" s="2407"/>
      <c r="AK68" s="2407"/>
      <c r="AL68" s="2407"/>
      <c r="AM68" s="2407"/>
      <c r="AN68" s="2416"/>
      <c r="AO68" s="2435"/>
      <c r="AP68" s="2435"/>
      <c r="AQ68" s="2436"/>
    </row>
    <row r="69" spans="1:43" ht="30.75" customHeight="1" x14ac:dyDescent="0.2">
      <c r="A69" s="3402"/>
      <c r="B69" s="3403"/>
      <c r="C69" s="3404"/>
      <c r="D69" s="3516"/>
      <c r="E69" s="3517"/>
      <c r="F69" s="3518"/>
      <c r="G69" s="3514"/>
      <c r="H69" s="3514"/>
      <c r="I69" s="3515"/>
      <c r="J69" s="3508">
        <v>52</v>
      </c>
      <c r="K69" s="3417" t="s">
        <v>2420</v>
      </c>
      <c r="L69" s="3417" t="s">
        <v>2421</v>
      </c>
      <c r="M69" s="3524">
        <v>3</v>
      </c>
      <c r="N69" s="2444"/>
      <c r="O69" s="3410" t="s">
        <v>2422</v>
      </c>
      <c r="P69" s="3417" t="s">
        <v>2423</v>
      </c>
      <c r="Q69" s="3440">
        <f>(V69+V71+V73+V75+V77+V79)/R69</f>
        <v>1</v>
      </c>
      <c r="R69" s="3464">
        <f>SUM(V69:V80)</f>
        <v>119240000</v>
      </c>
      <c r="S69" s="3417" t="s">
        <v>2424</v>
      </c>
      <c r="T69" s="3428" t="s">
        <v>2425</v>
      </c>
      <c r="U69" s="3468" t="s">
        <v>2426</v>
      </c>
      <c r="V69" s="3453">
        <v>25000000</v>
      </c>
      <c r="W69" s="3521">
        <v>20</v>
      </c>
      <c r="X69" s="3437" t="s">
        <v>1850</v>
      </c>
      <c r="Y69" s="3461">
        <v>294321</v>
      </c>
      <c r="Z69" s="3461">
        <v>283947</v>
      </c>
      <c r="AA69" s="3461">
        <v>135754</v>
      </c>
      <c r="AB69" s="3461">
        <v>44640</v>
      </c>
      <c r="AC69" s="3461">
        <v>308178</v>
      </c>
      <c r="AD69" s="3457">
        <v>89696</v>
      </c>
      <c r="AE69" s="3457"/>
      <c r="AF69" s="2421"/>
      <c r="AG69" s="2421"/>
      <c r="AH69" s="2421"/>
      <c r="AI69" s="2421"/>
      <c r="AJ69" s="2421"/>
      <c r="AK69" s="2421"/>
      <c r="AL69" s="2421"/>
      <c r="AM69" s="2421"/>
      <c r="AN69" s="3461">
        <f>+Y69+Z69</f>
        <v>578268</v>
      </c>
      <c r="AO69" s="3446">
        <v>43467</v>
      </c>
      <c r="AP69" s="3446">
        <v>43830</v>
      </c>
      <c r="AQ69" s="3449" t="s">
        <v>2347</v>
      </c>
    </row>
    <row r="70" spans="1:43" ht="29.25" customHeight="1" x14ac:dyDescent="0.2">
      <c r="A70" s="3402"/>
      <c r="B70" s="3403"/>
      <c r="C70" s="3404"/>
      <c r="D70" s="3516"/>
      <c r="E70" s="3517"/>
      <c r="F70" s="3518"/>
      <c r="G70" s="3517"/>
      <c r="H70" s="3517"/>
      <c r="I70" s="3518"/>
      <c r="J70" s="3509"/>
      <c r="K70" s="3418"/>
      <c r="L70" s="3418"/>
      <c r="M70" s="3445"/>
      <c r="N70" s="2429"/>
      <c r="O70" s="3412"/>
      <c r="P70" s="3418"/>
      <c r="Q70" s="3441"/>
      <c r="R70" s="3465"/>
      <c r="S70" s="3418"/>
      <c r="T70" s="3429"/>
      <c r="U70" s="3470"/>
      <c r="V70" s="3453"/>
      <c r="W70" s="3521"/>
      <c r="X70" s="3438"/>
      <c r="Y70" s="3462"/>
      <c r="Z70" s="3462"/>
      <c r="AA70" s="3462"/>
      <c r="AB70" s="3462"/>
      <c r="AC70" s="3462"/>
      <c r="AD70" s="3454"/>
      <c r="AE70" s="3454"/>
      <c r="AF70" s="2445"/>
      <c r="AG70" s="2445"/>
      <c r="AH70" s="2445"/>
      <c r="AI70" s="2445"/>
      <c r="AJ70" s="2445"/>
      <c r="AK70" s="2445"/>
      <c r="AL70" s="2445"/>
      <c r="AM70" s="2445"/>
      <c r="AN70" s="3462"/>
      <c r="AO70" s="3447"/>
      <c r="AP70" s="3447"/>
      <c r="AQ70" s="3450"/>
    </row>
    <row r="71" spans="1:43" ht="24.75" customHeight="1" x14ac:dyDescent="0.2">
      <c r="A71" s="3402"/>
      <c r="B71" s="3403"/>
      <c r="C71" s="3404"/>
      <c r="D71" s="3516"/>
      <c r="E71" s="3517"/>
      <c r="F71" s="3518"/>
      <c r="G71" s="3517"/>
      <c r="H71" s="3517"/>
      <c r="I71" s="3518"/>
      <c r="J71" s="3509"/>
      <c r="K71" s="3418"/>
      <c r="L71" s="3418"/>
      <c r="M71" s="3445"/>
      <c r="N71" s="2429"/>
      <c r="O71" s="3412"/>
      <c r="P71" s="3418"/>
      <c r="Q71" s="3441"/>
      <c r="R71" s="3465"/>
      <c r="S71" s="3418"/>
      <c r="T71" s="3429"/>
      <c r="U71" s="3468" t="s">
        <v>2427</v>
      </c>
      <c r="V71" s="3453">
        <v>25000000</v>
      </c>
      <c r="W71" s="3521">
        <v>20</v>
      </c>
      <c r="X71" s="3438"/>
      <c r="Y71" s="3462"/>
      <c r="Z71" s="3462"/>
      <c r="AA71" s="3462"/>
      <c r="AB71" s="3462"/>
      <c r="AC71" s="3462"/>
      <c r="AD71" s="3454"/>
      <c r="AE71" s="3454"/>
      <c r="AF71" s="2445"/>
      <c r="AG71" s="2445"/>
      <c r="AH71" s="2445"/>
      <c r="AI71" s="2445"/>
      <c r="AJ71" s="2445"/>
      <c r="AK71" s="2445"/>
      <c r="AL71" s="2445"/>
      <c r="AM71" s="2445"/>
      <c r="AN71" s="3462"/>
      <c r="AO71" s="3447"/>
      <c r="AP71" s="3447"/>
      <c r="AQ71" s="3450"/>
    </row>
    <row r="72" spans="1:43" ht="21" customHeight="1" x14ac:dyDescent="0.2">
      <c r="A72" s="3402"/>
      <c r="B72" s="3403"/>
      <c r="C72" s="3404"/>
      <c r="D72" s="3516"/>
      <c r="E72" s="3517"/>
      <c r="F72" s="3518"/>
      <c r="G72" s="3517"/>
      <c r="H72" s="3517"/>
      <c r="I72" s="3518"/>
      <c r="J72" s="3509"/>
      <c r="K72" s="3418"/>
      <c r="L72" s="3418"/>
      <c r="M72" s="3445"/>
      <c r="N72" s="2429"/>
      <c r="O72" s="3412"/>
      <c r="P72" s="3418"/>
      <c r="Q72" s="3441"/>
      <c r="R72" s="3465"/>
      <c r="S72" s="3418"/>
      <c r="T72" s="3429"/>
      <c r="U72" s="3470"/>
      <c r="V72" s="3453"/>
      <c r="W72" s="3521"/>
      <c r="X72" s="3438"/>
      <c r="Y72" s="3462"/>
      <c r="Z72" s="3462"/>
      <c r="AA72" s="3462"/>
      <c r="AB72" s="3462"/>
      <c r="AC72" s="3462"/>
      <c r="AD72" s="3454"/>
      <c r="AE72" s="3454"/>
      <c r="AF72" s="2445"/>
      <c r="AG72" s="2445"/>
      <c r="AH72" s="2445"/>
      <c r="AI72" s="2445"/>
      <c r="AJ72" s="2445"/>
      <c r="AK72" s="2445"/>
      <c r="AL72" s="2445"/>
      <c r="AM72" s="2445"/>
      <c r="AN72" s="3462"/>
      <c r="AO72" s="3447"/>
      <c r="AP72" s="3447"/>
      <c r="AQ72" s="3450"/>
    </row>
    <row r="73" spans="1:43" ht="28.5" customHeight="1" x14ac:dyDescent="0.2">
      <c r="A73" s="3402"/>
      <c r="B73" s="3403"/>
      <c r="C73" s="3404"/>
      <c r="D73" s="3516"/>
      <c r="E73" s="3517"/>
      <c r="F73" s="3518"/>
      <c r="G73" s="3517"/>
      <c r="H73" s="3517"/>
      <c r="I73" s="3518"/>
      <c r="J73" s="3509"/>
      <c r="K73" s="3418"/>
      <c r="L73" s="3418"/>
      <c r="M73" s="3445"/>
      <c r="N73" s="2429" t="s">
        <v>2428</v>
      </c>
      <c r="O73" s="3412"/>
      <c r="P73" s="3418"/>
      <c r="Q73" s="3441"/>
      <c r="R73" s="3465"/>
      <c r="S73" s="3418"/>
      <c r="T73" s="3429"/>
      <c r="U73" s="3468" t="s">
        <v>2429</v>
      </c>
      <c r="V73" s="3453">
        <v>30000000</v>
      </c>
      <c r="W73" s="3521">
        <v>20</v>
      </c>
      <c r="X73" s="3438"/>
      <c r="Y73" s="3462"/>
      <c r="Z73" s="3462"/>
      <c r="AA73" s="3462"/>
      <c r="AB73" s="3462"/>
      <c r="AC73" s="3462"/>
      <c r="AD73" s="3454"/>
      <c r="AE73" s="3454"/>
      <c r="AF73" s="2445"/>
      <c r="AG73" s="2445"/>
      <c r="AH73" s="2445"/>
      <c r="AI73" s="2445"/>
      <c r="AJ73" s="2445"/>
      <c r="AK73" s="2445"/>
      <c r="AL73" s="2445"/>
      <c r="AM73" s="2445"/>
      <c r="AN73" s="3462"/>
      <c r="AO73" s="3447"/>
      <c r="AP73" s="3447"/>
      <c r="AQ73" s="3450"/>
    </row>
    <row r="74" spans="1:43" ht="21" customHeight="1" x14ac:dyDescent="0.2">
      <c r="A74" s="3402"/>
      <c r="B74" s="3403"/>
      <c r="C74" s="3404"/>
      <c r="D74" s="3516"/>
      <c r="E74" s="3517"/>
      <c r="F74" s="3518"/>
      <c r="G74" s="3517"/>
      <c r="H74" s="3517"/>
      <c r="I74" s="3518"/>
      <c r="J74" s="3509"/>
      <c r="K74" s="3418"/>
      <c r="L74" s="3418"/>
      <c r="M74" s="3445"/>
      <c r="N74" s="2429"/>
      <c r="O74" s="3412"/>
      <c r="P74" s="3418"/>
      <c r="Q74" s="3441"/>
      <c r="R74" s="3465"/>
      <c r="S74" s="3418"/>
      <c r="T74" s="3429"/>
      <c r="U74" s="3470"/>
      <c r="V74" s="3453"/>
      <c r="W74" s="3521"/>
      <c r="X74" s="3438"/>
      <c r="Y74" s="3462"/>
      <c r="Z74" s="3462"/>
      <c r="AA74" s="3462"/>
      <c r="AB74" s="3462"/>
      <c r="AC74" s="3462"/>
      <c r="AD74" s="3454"/>
      <c r="AE74" s="3454"/>
      <c r="AF74" s="2445"/>
      <c r="AG74" s="2445"/>
      <c r="AH74" s="2445"/>
      <c r="AI74" s="2445"/>
      <c r="AJ74" s="2445"/>
      <c r="AK74" s="2445"/>
      <c r="AL74" s="2445"/>
      <c r="AM74" s="2445"/>
      <c r="AN74" s="3462"/>
      <c r="AO74" s="3447"/>
      <c r="AP74" s="3447"/>
      <c r="AQ74" s="3450"/>
    </row>
    <row r="75" spans="1:43" ht="39.75" customHeight="1" x14ac:dyDescent="0.2">
      <c r="A75" s="3402"/>
      <c r="B75" s="3403"/>
      <c r="C75" s="3404"/>
      <c r="D75" s="3516"/>
      <c r="E75" s="3517"/>
      <c r="F75" s="3518"/>
      <c r="G75" s="3517"/>
      <c r="H75" s="3517"/>
      <c r="I75" s="3518"/>
      <c r="J75" s="3509"/>
      <c r="K75" s="3418"/>
      <c r="L75" s="3418"/>
      <c r="M75" s="3445"/>
      <c r="N75" s="2429"/>
      <c r="O75" s="3412"/>
      <c r="P75" s="3418"/>
      <c r="Q75" s="3441"/>
      <c r="R75" s="3465"/>
      <c r="S75" s="3418"/>
      <c r="T75" s="3429"/>
      <c r="U75" s="3468" t="s">
        <v>2430</v>
      </c>
      <c r="V75" s="3453">
        <v>12000000</v>
      </c>
      <c r="W75" s="3521">
        <v>20</v>
      </c>
      <c r="X75" s="3438"/>
      <c r="Y75" s="3462"/>
      <c r="Z75" s="3462"/>
      <c r="AA75" s="3462"/>
      <c r="AB75" s="3462"/>
      <c r="AC75" s="3462"/>
      <c r="AD75" s="3454"/>
      <c r="AE75" s="3454"/>
      <c r="AF75" s="2445"/>
      <c r="AG75" s="2445"/>
      <c r="AH75" s="2445"/>
      <c r="AI75" s="2445"/>
      <c r="AJ75" s="2445"/>
      <c r="AK75" s="2445"/>
      <c r="AL75" s="2445"/>
      <c r="AM75" s="2445"/>
      <c r="AN75" s="3462"/>
      <c r="AO75" s="3447"/>
      <c r="AP75" s="3447"/>
      <c r="AQ75" s="3450"/>
    </row>
    <row r="76" spans="1:43" ht="18" customHeight="1" x14ac:dyDescent="0.2">
      <c r="A76" s="3402"/>
      <c r="B76" s="3403"/>
      <c r="C76" s="3404"/>
      <c r="D76" s="3516"/>
      <c r="E76" s="3517"/>
      <c r="F76" s="3518"/>
      <c r="G76" s="3517"/>
      <c r="H76" s="3517"/>
      <c r="I76" s="3518"/>
      <c r="J76" s="3509"/>
      <c r="K76" s="3418"/>
      <c r="L76" s="3418"/>
      <c r="M76" s="3445"/>
      <c r="N76" s="2429"/>
      <c r="O76" s="3412"/>
      <c r="P76" s="3418"/>
      <c r="Q76" s="3441"/>
      <c r="R76" s="3465"/>
      <c r="S76" s="3418"/>
      <c r="T76" s="3429"/>
      <c r="U76" s="3470"/>
      <c r="V76" s="3453"/>
      <c r="W76" s="3521"/>
      <c r="X76" s="3438"/>
      <c r="Y76" s="3462"/>
      <c r="Z76" s="3462"/>
      <c r="AA76" s="3462"/>
      <c r="AB76" s="3462"/>
      <c r="AC76" s="3462"/>
      <c r="AD76" s="3454"/>
      <c r="AE76" s="3454"/>
      <c r="AF76" s="2445"/>
      <c r="AG76" s="2445"/>
      <c r="AH76" s="2445"/>
      <c r="AI76" s="2445"/>
      <c r="AJ76" s="2445"/>
      <c r="AK76" s="2445"/>
      <c r="AL76" s="2445"/>
      <c r="AM76" s="2445"/>
      <c r="AN76" s="3462"/>
      <c r="AO76" s="3447"/>
      <c r="AP76" s="3447"/>
      <c r="AQ76" s="3450"/>
    </row>
    <row r="77" spans="1:43" ht="42.75" customHeight="1" x14ac:dyDescent="0.2">
      <c r="A77" s="3402"/>
      <c r="B77" s="3403"/>
      <c r="C77" s="3404"/>
      <c r="D77" s="3516"/>
      <c r="E77" s="3517"/>
      <c r="F77" s="3518"/>
      <c r="G77" s="3517"/>
      <c r="H77" s="3517"/>
      <c r="I77" s="3518"/>
      <c r="J77" s="3509"/>
      <c r="K77" s="3418"/>
      <c r="L77" s="3418"/>
      <c r="M77" s="3445"/>
      <c r="N77" s="2429"/>
      <c r="O77" s="3412"/>
      <c r="P77" s="3418"/>
      <c r="Q77" s="3441"/>
      <c r="R77" s="3465"/>
      <c r="S77" s="3418"/>
      <c r="T77" s="3429"/>
      <c r="U77" s="3468" t="s">
        <v>2431</v>
      </c>
      <c r="V77" s="3453">
        <v>4740000</v>
      </c>
      <c r="W77" s="3521">
        <v>20</v>
      </c>
      <c r="X77" s="3438"/>
      <c r="Y77" s="3462"/>
      <c r="Z77" s="3462"/>
      <c r="AA77" s="3462"/>
      <c r="AB77" s="3462"/>
      <c r="AC77" s="3462"/>
      <c r="AD77" s="3454"/>
      <c r="AE77" s="3454"/>
      <c r="AF77" s="2445"/>
      <c r="AG77" s="2445"/>
      <c r="AH77" s="2445"/>
      <c r="AI77" s="2445"/>
      <c r="AJ77" s="2445"/>
      <c r="AK77" s="2445"/>
      <c r="AL77" s="2445"/>
      <c r="AM77" s="2445"/>
      <c r="AN77" s="3462"/>
      <c r="AO77" s="3447"/>
      <c r="AP77" s="3447"/>
      <c r="AQ77" s="3450"/>
    </row>
    <row r="78" spans="1:43" ht="19.5" customHeight="1" x14ac:dyDescent="0.2">
      <c r="A78" s="3402"/>
      <c r="B78" s="3403"/>
      <c r="C78" s="3404"/>
      <c r="D78" s="3516"/>
      <c r="E78" s="3517"/>
      <c r="F78" s="3518"/>
      <c r="G78" s="3517"/>
      <c r="H78" s="3517"/>
      <c r="I78" s="3518"/>
      <c r="J78" s="3509"/>
      <c r="K78" s="3418"/>
      <c r="L78" s="3418"/>
      <c r="M78" s="3445"/>
      <c r="N78" s="2429"/>
      <c r="O78" s="3412"/>
      <c r="P78" s="3418"/>
      <c r="Q78" s="3441"/>
      <c r="R78" s="3465"/>
      <c r="S78" s="3418"/>
      <c r="T78" s="3429"/>
      <c r="U78" s="3470"/>
      <c r="V78" s="3453"/>
      <c r="W78" s="3521"/>
      <c r="X78" s="3438"/>
      <c r="Y78" s="3462"/>
      <c r="Z78" s="3462"/>
      <c r="AA78" s="3462"/>
      <c r="AB78" s="3462"/>
      <c r="AC78" s="3462"/>
      <c r="AD78" s="3454"/>
      <c r="AE78" s="3454"/>
      <c r="AF78" s="2445"/>
      <c r="AG78" s="2445"/>
      <c r="AH78" s="2445"/>
      <c r="AI78" s="2445"/>
      <c r="AJ78" s="2445"/>
      <c r="AK78" s="2445"/>
      <c r="AL78" s="2445"/>
      <c r="AM78" s="2445"/>
      <c r="AN78" s="3462"/>
      <c r="AO78" s="3447"/>
      <c r="AP78" s="3447"/>
      <c r="AQ78" s="3450"/>
    </row>
    <row r="79" spans="1:43" ht="30.75" customHeight="1" x14ac:dyDescent="0.2">
      <c r="A79" s="3402"/>
      <c r="B79" s="3403"/>
      <c r="C79" s="3404"/>
      <c r="D79" s="3516"/>
      <c r="E79" s="3517"/>
      <c r="F79" s="3518"/>
      <c r="G79" s="3517"/>
      <c r="H79" s="3517"/>
      <c r="I79" s="3518"/>
      <c r="J79" s="3509"/>
      <c r="K79" s="3418"/>
      <c r="L79" s="3418"/>
      <c r="M79" s="3445"/>
      <c r="N79" s="2429"/>
      <c r="O79" s="3412"/>
      <c r="P79" s="3418"/>
      <c r="Q79" s="3441"/>
      <c r="R79" s="3465"/>
      <c r="S79" s="3418"/>
      <c r="T79" s="3429"/>
      <c r="U79" s="3468" t="s">
        <v>2432</v>
      </c>
      <c r="V79" s="3453">
        <v>22500000</v>
      </c>
      <c r="W79" s="3521">
        <v>20</v>
      </c>
      <c r="X79" s="3438"/>
      <c r="Y79" s="3462"/>
      <c r="Z79" s="3462"/>
      <c r="AA79" s="3462"/>
      <c r="AB79" s="3462"/>
      <c r="AC79" s="3462"/>
      <c r="AD79" s="3454"/>
      <c r="AE79" s="3454"/>
      <c r="AF79" s="2445"/>
      <c r="AG79" s="2445"/>
      <c r="AH79" s="2445"/>
      <c r="AI79" s="2445"/>
      <c r="AJ79" s="2445"/>
      <c r="AK79" s="2445"/>
      <c r="AL79" s="2445"/>
      <c r="AM79" s="2445"/>
      <c r="AN79" s="3462"/>
      <c r="AO79" s="3447"/>
      <c r="AP79" s="3447"/>
      <c r="AQ79" s="3450"/>
    </row>
    <row r="80" spans="1:43" ht="19.5" customHeight="1" x14ac:dyDescent="0.2">
      <c r="A80" s="3402"/>
      <c r="B80" s="3403"/>
      <c r="C80" s="3404"/>
      <c r="D80" s="3516"/>
      <c r="E80" s="3517"/>
      <c r="F80" s="3518"/>
      <c r="G80" s="3522"/>
      <c r="H80" s="3522"/>
      <c r="I80" s="3523"/>
      <c r="J80" s="3511"/>
      <c r="K80" s="3431"/>
      <c r="L80" s="3431"/>
      <c r="M80" s="3525"/>
      <c r="N80" s="2441"/>
      <c r="O80" s="3414"/>
      <c r="P80" s="3431"/>
      <c r="Q80" s="3486"/>
      <c r="R80" s="3474"/>
      <c r="S80" s="3431"/>
      <c r="T80" s="3430"/>
      <c r="U80" s="3470"/>
      <c r="V80" s="3453"/>
      <c r="W80" s="3521"/>
      <c r="X80" s="3439"/>
      <c r="Y80" s="3463"/>
      <c r="Z80" s="3463"/>
      <c r="AA80" s="3463"/>
      <c r="AB80" s="3463"/>
      <c r="AC80" s="3463"/>
      <c r="AD80" s="3475"/>
      <c r="AE80" s="3475"/>
      <c r="AF80" s="1993"/>
      <c r="AG80" s="1993"/>
      <c r="AH80" s="1993"/>
      <c r="AI80" s="1993"/>
      <c r="AJ80" s="1993"/>
      <c r="AK80" s="1993"/>
      <c r="AL80" s="1993"/>
      <c r="AM80" s="1993"/>
      <c r="AN80" s="3463"/>
      <c r="AO80" s="3448"/>
      <c r="AP80" s="3448"/>
      <c r="AQ80" s="3451"/>
    </row>
    <row r="81" spans="1:44" ht="23.25" customHeight="1" x14ac:dyDescent="0.2">
      <c r="A81" s="3402"/>
      <c r="B81" s="3403"/>
      <c r="C81" s="3404"/>
      <c r="D81" s="3516"/>
      <c r="E81" s="3517"/>
      <c r="F81" s="3518"/>
      <c r="G81" s="2008">
        <v>13</v>
      </c>
      <c r="H81" s="1972" t="s">
        <v>2433</v>
      </c>
      <c r="I81" s="1972"/>
      <c r="J81" s="2446"/>
      <c r="K81" s="2447"/>
      <c r="L81" s="2447"/>
      <c r="M81" s="2446"/>
      <c r="N81" s="2448"/>
      <c r="O81" s="2449"/>
      <c r="P81" s="2447"/>
      <c r="Q81" s="2450"/>
      <c r="R81" s="2451"/>
      <c r="S81" s="2447"/>
      <c r="T81" s="2447"/>
      <c r="U81" s="2452"/>
      <c r="V81" s="2453"/>
      <c r="W81" s="2439"/>
      <c r="X81" s="2440"/>
      <c r="Y81" s="2454"/>
      <c r="Z81" s="2454"/>
      <c r="AA81" s="2446"/>
      <c r="AB81" s="2446"/>
      <c r="AC81" s="2446"/>
      <c r="AD81" s="2446"/>
      <c r="AE81" s="2446"/>
      <c r="AF81" s="2446"/>
      <c r="AG81" s="2446"/>
      <c r="AH81" s="2446"/>
      <c r="AI81" s="2446"/>
      <c r="AJ81" s="2446"/>
      <c r="AK81" s="2446"/>
      <c r="AL81" s="2446"/>
      <c r="AM81" s="2446"/>
      <c r="AN81" s="2454"/>
      <c r="AO81" s="2455"/>
      <c r="AP81" s="2455"/>
      <c r="AQ81" s="2456"/>
    </row>
    <row r="82" spans="1:44" ht="49.5" customHeight="1" x14ac:dyDescent="0.2">
      <c r="A82" s="3402"/>
      <c r="B82" s="3403"/>
      <c r="C82" s="3404"/>
      <c r="D82" s="3516"/>
      <c r="E82" s="3517"/>
      <c r="F82" s="3518"/>
      <c r="G82" s="3513"/>
      <c r="H82" s="3514"/>
      <c r="I82" s="3515"/>
      <c r="J82" s="3509">
        <v>53</v>
      </c>
      <c r="K82" s="3417" t="s">
        <v>2434</v>
      </c>
      <c r="L82" s="3417" t="s">
        <v>2435</v>
      </c>
      <c r="M82" s="3437">
        <v>1</v>
      </c>
      <c r="N82" s="3437" t="s">
        <v>2436</v>
      </c>
      <c r="O82" s="3437" t="s">
        <v>2437</v>
      </c>
      <c r="P82" s="3417" t="s">
        <v>2438</v>
      </c>
      <c r="Q82" s="3440">
        <f>SUM(V82:V87)/R82</f>
        <v>1</v>
      </c>
      <c r="R82" s="3519">
        <f>SUM(V82:V87)</f>
        <v>1431890390</v>
      </c>
      <c r="S82" s="3417" t="s">
        <v>2439</v>
      </c>
      <c r="T82" s="3510" t="s">
        <v>2440</v>
      </c>
      <c r="U82" s="3501" t="s">
        <v>2441</v>
      </c>
      <c r="V82" s="2457">
        <v>248604326</v>
      </c>
      <c r="W82" s="701">
        <v>20</v>
      </c>
      <c r="X82" s="2425" t="s">
        <v>62</v>
      </c>
      <c r="Y82" s="3466">
        <v>294321</v>
      </c>
      <c r="Z82" s="3466">
        <v>283947</v>
      </c>
      <c r="AA82" s="3466">
        <v>135754</v>
      </c>
      <c r="AB82" s="3466">
        <v>44640</v>
      </c>
      <c r="AC82" s="3466">
        <v>308178</v>
      </c>
      <c r="AD82" s="3457">
        <v>89696</v>
      </c>
      <c r="AE82" s="3457"/>
      <c r="AF82" s="2421"/>
      <c r="AG82" s="2421"/>
      <c r="AH82" s="2421"/>
      <c r="AI82" s="2421"/>
      <c r="AJ82" s="2421"/>
      <c r="AK82" s="2421"/>
      <c r="AL82" s="2421"/>
      <c r="AM82" s="2421"/>
      <c r="AN82" s="3461">
        <f>+Y82+Z82</f>
        <v>578268</v>
      </c>
      <c r="AO82" s="3446">
        <v>43467</v>
      </c>
      <c r="AP82" s="3446">
        <v>43830</v>
      </c>
      <c r="AQ82" s="3449" t="s">
        <v>2347</v>
      </c>
      <c r="AR82" s="66"/>
    </row>
    <row r="83" spans="1:44" ht="49.5" customHeight="1" x14ac:dyDescent="0.2">
      <c r="A83" s="3402"/>
      <c r="B83" s="3403"/>
      <c r="C83" s="3404"/>
      <c r="D83" s="3516"/>
      <c r="E83" s="3517"/>
      <c r="F83" s="3518"/>
      <c r="G83" s="3516"/>
      <c r="H83" s="3517"/>
      <c r="I83" s="3518"/>
      <c r="J83" s="3509"/>
      <c r="K83" s="3418"/>
      <c r="L83" s="3418"/>
      <c r="M83" s="3438"/>
      <c r="N83" s="3438"/>
      <c r="O83" s="3438"/>
      <c r="P83" s="3418"/>
      <c r="Q83" s="3441"/>
      <c r="R83" s="3520"/>
      <c r="S83" s="3418"/>
      <c r="T83" s="3500"/>
      <c r="U83" s="3501"/>
      <c r="V83" s="2458">
        <f>581320553-V86</f>
        <v>413395674</v>
      </c>
      <c r="W83" s="701">
        <v>52</v>
      </c>
      <c r="X83" s="2425" t="s">
        <v>2442</v>
      </c>
      <c r="Y83" s="3467"/>
      <c r="Z83" s="3467"/>
      <c r="AA83" s="3467"/>
      <c r="AB83" s="3467"/>
      <c r="AC83" s="3467"/>
      <c r="AD83" s="3454"/>
      <c r="AE83" s="3454"/>
      <c r="AF83" s="2445"/>
      <c r="AG83" s="2445"/>
      <c r="AH83" s="2445"/>
      <c r="AI83" s="2445"/>
      <c r="AJ83" s="2445"/>
      <c r="AK83" s="2445"/>
      <c r="AL83" s="2445"/>
      <c r="AM83" s="2445"/>
      <c r="AN83" s="3462"/>
      <c r="AO83" s="3447"/>
      <c r="AP83" s="3447"/>
      <c r="AQ83" s="3487"/>
      <c r="AR83" s="66"/>
    </row>
    <row r="84" spans="1:44" ht="49.5" customHeight="1" x14ac:dyDescent="0.2">
      <c r="A84" s="3402"/>
      <c r="B84" s="3403"/>
      <c r="C84" s="3404"/>
      <c r="D84" s="3516"/>
      <c r="E84" s="3517"/>
      <c r="F84" s="3518"/>
      <c r="G84" s="3516"/>
      <c r="H84" s="3517"/>
      <c r="I84" s="3518"/>
      <c r="J84" s="3509"/>
      <c r="K84" s="3418"/>
      <c r="L84" s="3418"/>
      <c r="M84" s="3438"/>
      <c r="N84" s="3438"/>
      <c r="O84" s="3438"/>
      <c r="P84" s="3418"/>
      <c r="Q84" s="3441"/>
      <c r="R84" s="3520"/>
      <c r="S84" s="3418"/>
      <c r="T84" s="3500"/>
      <c r="U84" s="3501"/>
      <c r="V84" s="2458">
        <f>0+400000000+128998611</f>
        <v>528998611</v>
      </c>
      <c r="W84" s="2459">
        <v>88</v>
      </c>
      <c r="X84" s="2460" t="s">
        <v>446</v>
      </c>
      <c r="Y84" s="3467"/>
      <c r="Z84" s="3467"/>
      <c r="AA84" s="3467"/>
      <c r="AB84" s="3467"/>
      <c r="AC84" s="3467"/>
      <c r="AD84" s="3454"/>
      <c r="AE84" s="3454"/>
      <c r="AF84" s="2445"/>
      <c r="AG84" s="2445"/>
      <c r="AH84" s="2445"/>
      <c r="AI84" s="2445"/>
      <c r="AJ84" s="2445"/>
      <c r="AK84" s="2445"/>
      <c r="AL84" s="2445"/>
      <c r="AM84" s="2445"/>
      <c r="AN84" s="3462"/>
      <c r="AO84" s="3447"/>
      <c r="AP84" s="3447"/>
      <c r="AQ84" s="3487"/>
      <c r="AR84" s="66"/>
    </row>
    <row r="85" spans="1:44" ht="39" customHeight="1" x14ac:dyDescent="0.2">
      <c r="A85" s="3402"/>
      <c r="B85" s="3403"/>
      <c r="C85" s="3404"/>
      <c r="D85" s="3516"/>
      <c r="E85" s="3517"/>
      <c r="F85" s="3518"/>
      <c r="G85" s="3516"/>
      <c r="H85" s="3517"/>
      <c r="I85" s="3518"/>
      <c r="J85" s="3509"/>
      <c r="K85" s="3418"/>
      <c r="L85" s="3418"/>
      <c r="M85" s="3438"/>
      <c r="N85" s="3438"/>
      <c r="O85" s="3438"/>
      <c r="P85" s="3418"/>
      <c r="Q85" s="3441"/>
      <c r="R85" s="3520"/>
      <c r="S85" s="3418"/>
      <c r="T85" s="3500"/>
      <c r="U85" s="3501"/>
      <c r="V85" s="2461">
        <f>0+72966900</f>
        <v>72966900</v>
      </c>
      <c r="W85" s="2459">
        <v>94</v>
      </c>
      <c r="X85" s="2459" t="s">
        <v>2443</v>
      </c>
      <c r="Y85" s="3467"/>
      <c r="Z85" s="3467"/>
      <c r="AA85" s="3467"/>
      <c r="AB85" s="3467"/>
      <c r="AC85" s="3467"/>
      <c r="AD85" s="3454"/>
      <c r="AE85" s="3454"/>
      <c r="AF85" s="2445"/>
      <c r="AG85" s="2445"/>
      <c r="AH85" s="2445"/>
      <c r="AI85" s="2445"/>
      <c r="AJ85" s="2445"/>
      <c r="AK85" s="2445"/>
      <c r="AL85" s="2445"/>
      <c r="AM85" s="2445"/>
      <c r="AN85" s="3462"/>
      <c r="AO85" s="3447"/>
      <c r="AP85" s="3447"/>
      <c r="AQ85" s="3450"/>
      <c r="AR85" s="66"/>
    </row>
    <row r="86" spans="1:44" ht="48" customHeight="1" x14ac:dyDescent="0.2">
      <c r="A86" s="3402"/>
      <c r="B86" s="3403"/>
      <c r="C86" s="3404"/>
      <c r="D86" s="3516"/>
      <c r="E86" s="3517"/>
      <c r="F86" s="3518"/>
      <c r="G86" s="3516"/>
      <c r="H86" s="3517"/>
      <c r="I86" s="3518"/>
      <c r="J86" s="3509"/>
      <c r="K86" s="3418"/>
      <c r="L86" s="3418"/>
      <c r="M86" s="3438"/>
      <c r="N86" s="3438"/>
      <c r="O86" s="3438"/>
      <c r="P86" s="3418"/>
      <c r="Q86" s="3441"/>
      <c r="R86" s="3520"/>
      <c r="S86" s="3418"/>
      <c r="T86" s="3429"/>
      <c r="U86" s="3469" t="s">
        <v>2444</v>
      </c>
      <c r="V86" s="3527">
        <v>167924879</v>
      </c>
      <c r="W86" s="3529">
        <v>52</v>
      </c>
      <c r="X86" s="3531" t="s">
        <v>2442</v>
      </c>
      <c r="Y86" s="3467"/>
      <c r="Z86" s="3467"/>
      <c r="AA86" s="3467"/>
      <c r="AB86" s="3467"/>
      <c r="AC86" s="3467"/>
      <c r="AD86" s="3454"/>
      <c r="AE86" s="3454"/>
      <c r="AF86" s="2445"/>
      <c r="AG86" s="2445"/>
      <c r="AH86" s="2445"/>
      <c r="AI86" s="2445"/>
      <c r="AJ86" s="2445"/>
      <c r="AK86" s="2445"/>
      <c r="AL86" s="2445"/>
      <c r="AM86" s="2445"/>
      <c r="AN86" s="3462"/>
      <c r="AO86" s="3447"/>
      <c r="AP86" s="3447"/>
      <c r="AQ86" s="3450"/>
    </row>
    <row r="87" spans="1:44" ht="39.75" customHeight="1" thickBot="1" x14ac:dyDescent="0.25">
      <c r="A87" s="3402"/>
      <c r="B87" s="3403"/>
      <c r="C87" s="3404"/>
      <c r="D87" s="3516"/>
      <c r="E87" s="3517"/>
      <c r="F87" s="3518"/>
      <c r="G87" s="3516"/>
      <c r="H87" s="3517"/>
      <c r="I87" s="3518"/>
      <c r="J87" s="3509"/>
      <c r="K87" s="3418"/>
      <c r="L87" s="3418"/>
      <c r="M87" s="3438"/>
      <c r="N87" s="3438"/>
      <c r="O87" s="3438"/>
      <c r="P87" s="3418"/>
      <c r="Q87" s="3441"/>
      <c r="R87" s="3520"/>
      <c r="S87" s="3418"/>
      <c r="T87" s="3429"/>
      <c r="U87" s="3469"/>
      <c r="V87" s="3528"/>
      <c r="W87" s="3530"/>
      <c r="X87" s="3491"/>
      <c r="Y87" s="3467"/>
      <c r="Z87" s="3467"/>
      <c r="AA87" s="3467"/>
      <c r="AB87" s="3467"/>
      <c r="AC87" s="3467"/>
      <c r="AD87" s="3454"/>
      <c r="AE87" s="3454"/>
      <c r="AF87" s="2445"/>
      <c r="AG87" s="2445"/>
      <c r="AH87" s="2445"/>
      <c r="AI87" s="2445"/>
      <c r="AJ87" s="2445"/>
      <c r="AK87" s="2445"/>
      <c r="AL87" s="2445"/>
      <c r="AM87" s="2445"/>
      <c r="AN87" s="3462"/>
      <c r="AO87" s="3447"/>
      <c r="AP87" s="3447"/>
      <c r="AQ87" s="3450"/>
    </row>
    <row r="88" spans="1:44" ht="30.75" customHeight="1" thickBot="1" x14ac:dyDescent="0.25">
      <c r="A88" s="2462"/>
      <c r="B88" s="2463"/>
      <c r="C88" s="2463"/>
      <c r="D88" s="2463"/>
      <c r="E88" s="2463"/>
      <c r="F88" s="2463"/>
      <c r="G88" s="2463"/>
      <c r="H88" s="2463"/>
      <c r="I88" s="2463"/>
      <c r="J88" s="2463"/>
      <c r="K88" s="2464"/>
      <c r="L88" s="2465"/>
      <c r="M88" s="2466"/>
      <c r="N88" s="2466"/>
      <c r="O88" s="2467"/>
      <c r="P88" s="2124" t="s">
        <v>325</v>
      </c>
      <c r="Q88" s="2468"/>
      <c r="R88" s="2469">
        <f>R82+R69+R63+R52+R33+R23+R13</f>
        <v>2655880390</v>
      </c>
      <c r="S88" s="2470"/>
      <c r="T88" s="2464"/>
      <c r="U88" s="2471"/>
      <c r="V88" s="2472">
        <f>SUM(V13:V87)</f>
        <v>2655880390</v>
      </c>
      <c r="W88" s="2473"/>
      <c r="X88" s="2474"/>
      <c r="Y88" s="2475"/>
      <c r="Z88" s="2475"/>
      <c r="AA88" s="2463"/>
      <c r="AB88" s="2463"/>
      <c r="AC88" s="2463"/>
      <c r="AD88" s="2463"/>
      <c r="AE88" s="2463"/>
      <c r="AF88" s="2463"/>
      <c r="AG88" s="2463"/>
      <c r="AH88" s="2463"/>
      <c r="AI88" s="2463"/>
      <c r="AJ88" s="2463"/>
      <c r="AK88" s="2463"/>
      <c r="AL88" s="2463"/>
      <c r="AM88" s="2463"/>
      <c r="AN88" s="2475"/>
      <c r="AO88" s="2476"/>
      <c r="AP88" s="2476"/>
      <c r="AQ88" s="2477"/>
    </row>
    <row r="89" spans="1:44" ht="11.25" customHeight="1" x14ac:dyDescent="0.2">
      <c r="V89" s="2480"/>
    </row>
    <row r="94" spans="1:44" ht="22.5" customHeight="1" x14ac:dyDescent="0.2">
      <c r="D94" s="2484"/>
      <c r="E94" s="2484"/>
      <c r="F94" s="2484"/>
      <c r="G94" s="2484"/>
      <c r="H94" s="2484"/>
      <c r="I94" s="2484"/>
      <c r="J94" s="2484"/>
    </row>
    <row r="95" spans="1:44" ht="22.5" customHeight="1" x14ac:dyDescent="0.25">
      <c r="D95" s="3526" t="s">
        <v>2445</v>
      </c>
      <c r="E95" s="3526"/>
      <c r="F95" s="3526"/>
      <c r="G95" s="3526"/>
      <c r="H95" s="3526"/>
      <c r="I95" s="3526"/>
      <c r="J95" s="3526"/>
    </row>
    <row r="96" spans="1:44" ht="22.5" customHeight="1" x14ac:dyDescent="0.25">
      <c r="D96" s="1516" t="s">
        <v>2446</v>
      </c>
      <c r="E96" s="1516"/>
      <c r="F96" s="1516"/>
    </row>
    <row r="97" ht="22.5" customHeight="1" x14ac:dyDescent="0.2"/>
    <row r="98" ht="22.5" customHeight="1" x14ac:dyDescent="0.2"/>
  </sheetData>
  <sheetProtection password="F3F4" sheet="1" objects="1" scenarios="1"/>
  <mergeCells count="326">
    <mergeCell ref="D95:J95"/>
    <mergeCell ref="AO82:AO87"/>
    <mergeCell ref="AP82:AP87"/>
    <mergeCell ref="AQ82:AQ87"/>
    <mergeCell ref="U86:U87"/>
    <mergeCell ref="V86:V87"/>
    <mergeCell ref="W86:W87"/>
    <mergeCell ref="X86:X87"/>
    <mergeCell ref="AA82:AA87"/>
    <mergeCell ref="AB82:AB87"/>
    <mergeCell ref="AC82:AC87"/>
    <mergeCell ref="AD82:AD87"/>
    <mergeCell ref="AE82:AE87"/>
    <mergeCell ref="AN82:AN87"/>
    <mergeCell ref="R82:R87"/>
    <mergeCell ref="S82:S87"/>
    <mergeCell ref="T82:T87"/>
    <mergeCell ref="U82:U85"/>
    <mergeCell ref="Y82:Y87"/>
    <mergeCell ref="Z82:Z87"/>
    <mergeCell ref="W79:W80"/>
    <mergeCell ref="G82:I87"/>
    <mergeCell ref="J82:J87"/>
    <mergeCell ref="K82:K87"/>
    <mergeCell ref="L82:L87"/>
    <mergeCell ref="M82:M87"/>
    <mergeCell ref="N82:N87"/>
    <mergeCell ref="O82:O87"/>
    <mergeCell ref="P82:P87"/>
    <mergeCell ref="Q82:Q87"/>
    <mergeCell ref="G69:I80"/>
    <mergeCell ref="J69:J80"/>
    <mergeCell ref="K69:K80"/>
    <mergeCell ref="L69:L80"/>
    <mergeCell ref="M69:M80"/>
    <mergeCell ref="O69:O80"/>
    <mergeCell ref="AP69:AP80"/>
    <mergeCell ref="AQ69:AQ80"/>
    <mergeCell ref="U71:U72"/>
    <mergeCell ref="V71:V72"/>
    <mergeCell ref="W71:W72"/>
    <mergeCell ref="U73:U74"/>
    <mergeCell ref="V73:V74"/>
    <mergeCell ref="W73:W74"/>
    <mergeCell ref="U75:U76"/>
    <mergeCell ref="V75:V76"/>
    <mergeCell ref="AB69:AB80"/>
    <mergeCell ref="AC69:AC80"/>
    <mergeCell ref="AD69:AD80"/>
    <mergeCell ref="AE69:AE80"/>
    <mergeCell ref="AN69:AN80"/>
    <mergeCell ref="AO69:AO80"/>
    <mergeCell ref="V69:V70"/>
    <mergeCell ref="W69:W70"/>
    <mergeCell ref="X69:X80"/>
    <mergeCell ref="Y69:Y80"/>
    <mergeCell ref="Z69:Z80"/>
    <mergeCell ref="AA69:AA80"/>
    <mergeCell ref="W75:W76"/>
    <mergeCell ref="V77:V78"/>
    <mergeCell ref="AQ63:AQ67"/>
    <mergeCell ref="J66:J67"/>
    <mergeCell ref="K66:K67"/>
    <mergeCell ref="L66:L67"/>
    <mergeCell ref="M66:M67"/>
    <mergeCell ref="Q66:Q67"/>
    <mergeCell ref="U66:U67"/>
    <mergeCell ref="V66:V67"/>
    <mergeCell ref="W66:W67"/>
    <mergeCell ref="X66:X67"/>
    <mergeCell ref="AC63:AC67"/>
    <mergeCell ref="AD63:AD67"/>
    <mergeCell ref="AE63:AE67"/>
    <mergeCell ref="AN63:AN67"/>
    <mergeCell ref="AO63:AO67"/>
    <mergeCell ref="AP63:AP67"/>
    <mergeCell ref="W63:W65"/>
    <mergeCell ref="X63:X65"/>
    <mergeCell ref="Y63:Y67"/>
    <mergeCell ref="Z63:Z67"/>
    <mergeCell ref="AA63:AA67"/>
    <mergeCell ref="AB63:AB67"/>
    <mergeCell ref="Q63:Q65"/>
    <mergeCell ref="R63:R67"/>
    <mergeCell ref="S63:S67"/>
    <mergeCell ref="T63:T67"/>
    <mergeCell ref="U63:U65"/>
    <mergeCell ref="V63:V65"/>
    <mergeCell ref="W58:W60"/>
    <mergeCell ref="X58:X60"/>
    <mergeCell ref="D62:F87"/>
    <mergeCell ref="J63:J65"/>
    <mergeCell ref="K63:K65"/>
    <mergeCell ref="L63:L65"/>
    <mergeCell ref="M63:M65"/>
    <mergeCell ref="N63:N67"/>
    <mergeCell ref="O63:O67"/>
    <mergeCell ref="P63:P67"/>
    <mergeCell ref="W77:W78"/>
    <mergeCell ref="V79:V80"/>
    <mergeCell ref="P69:P80"/>
    <mergeCell ref="Q69:Q80"/>
    <mergeCell ref="R69:R80"/>
    <mergeCell ref="S69:S80"/>
    <mergeCell ref="T69:T80"/>
    <mergeCell ref="U69:U70"/>
    <mergeCell ref="U77:U78"/>
    <mergeCell ref="U79:U80"/>
    <mergeCell ref="AN52:AN60"/>
    <mergeCell ref="AO52:AO60"/>
    <mergeCell ref="AP52:AP60"/>
    <mergeCell ref="AQ52:AQ60"/>
    <mergeCell ref="V53:V54"/>
    <mergeCell ref="W53:W54"/>
    <mergeCell ref="X53:X54"/>
    <mergeCell ref="V55:V57"/>
    <mergeCell ref="W55:W57"/>
    <mergeCell ref="X55:X57"/>
    <mergeCell ref="Z52:Z60"/>
    <mergeCell ref="AA52:AA60"/>
    <mergeCell ref="AB52:AB60"/>
    <mergeCell ref="AC52:AC60"/>
    <mergeCell ref="AD52:AD60"/>
    <mergeCell ref="AE52:AE60"/>
    <mergeCell ref="U47:U50"/>
    <mergeCell ref="Q52:Q54"/>
    <mergeCell ref="R52:R60"/>
    <mergeCell ref="S52:S60"/>
    <mergeCell ref="T52:T54"/>
    <mergeCell ref="U52:U54"/>
    <mergeCell ref="Y52:Y60"/>
    <mergeCell ref="U55:U57"/>
    <mergeCell ref="Q58:Q60"/>
    <mergeCell ref="U58:U60"/>
    <mergeCell ref="V58:V60"/>
    <mergeCell ref="Q55:Q57"/>
    <mergeCell ref="T55:T60"/>
    <mergeCell ref="G52:I60"/>
    <mergeCell ref="J52:J54"/>
    <mergeCell ref="K52:K54"/>
    <mergeCell ref="L52:L54"/>
    <mergeCell ref="M52:M54"/>
    <mergeCell ref="O52:O60"/>
    <mergeCell ref="P52:P60"/>
    <mergeCell ref="J47:J50"/>
    <mergeCell ref="K47:K50"/>
    <mergeCell ref="L47:L50"/>
    <mergeCell ref="M47:M50"/>
    <mergeCell ref="J55:J57"/>
    <mergeCell ref="K55:K57"/>
    <mergeCell ref="L55:L57"/>
    <mergeCell ref="M55:M57"/>
    <mergeCell ref="J58:J60"/>
    <mergeCell ref="K58:K60"/>
    <mergeCell ref="L58:L60"/>
    <mergeCell ref="M58:M60"/>
    <mergeCell ref="U43:U46"/>
    <mergeCell ref="V43:V46"/>
    <mergeCell ref="W43:W46"/>
    <mergeCell ref="X43:X46"/>
    <mergeCell ref="J39:J42"/>
    <mergeCell ref="K39:K42"/>
    <mergeCell ref="L39:L42"/>
    <mergeCell ref="M39:M42"/>
    <mergeCell ref="Q39:Q42"/>
    <mergeCell ref="T39:T50"/>
    <mergeCell ref="N40:N41"/>
    <mergeCell ref="J43:J46"/>
    <mergeCell ref="K43:K46"/>
    <mergeCell ref="L43:L46"/>
    <mergeCell ref="R33:R50"/>
    <mergeCell ref="S33:S50"/>
    <mergeCell ref="T33:T38"/>
    <mergeCell ref="U33:U35"/>
    <mergeCell ref="U36:U38"/>
    <mergeCell ref="U39:U42"/>
    <mergeCell ref="V48:V50"/>
    <mergeCell ref="W48:W50"/>
    <mergeCell ref="X48:X50"/>
    <mergeCell ref="Q47:Q50"/>
    <mergeCell ref="AO33:AO50"/>
    <mergeCell ref="AP33:AP50"/>
    <mergeCell ref="AQ33:AQ50"/>
    <mergeCell ref="V34:V35"/>
    <mergeCell ref="W34:W35"/>
    <mergeCell ref="X34:X35"/>
    <mergeCell ref="V36:V38"/>
    <mergeCell ref="W36:W38"/>
    <mergeCell ref="X36:X38"/>
    <mergeCell ref="V39:V42"/>
    <mergeCell ref="AA33:AA50"/>
    <mergeCell ref="AB33:AB50"/>
    <mergeCell ref="AC33:AC50"/>
    <mergeCell ref="AD33:AD50"/>
    <mergeCell ref="AE33:AE50"/>
    <mergeCell ref="AN33:AN50"/>
    <mergeCell ref="Y33:Y50"/>
    <mergeCell ref="Z33:Z50"/>
    <mergeCell ref="W39:W42"/>
    <mergeCell ref="X39:X42"/>
    <mergeCell ref="G33:I50"/>
    <mergeCell ref="J33:J38"/>
    <mergeCell ref="K33:K38"/>
    <mergeCell ref="L33:L38"/>
    <mergeCell ref="M33:M38"/>
    <mergeCell ref="O33:O50"/>
    <mergeCell ref="P33:P50"/>
    <mergeCell ref="Q33:Q38"/>
    <mergeCell ref="J29:J31"/>
    <mergeCell ref="K29:K31"/>
    <mergeCell ref="L29:L31"/>
    <mergeCell ref="M29:M31"/>
    <mergeCell ref="Q29:Q31"/>
    <mergeCell ref="M43:M46"/>
    <mergeCell ref="Q43:Q46"/>
    <mergeCell ref="AN23:AN31"/>
    <mergeCell ref="AO23:AO31"/>
    <mergeCell ref="AP23:AP31"/>
    <mergeCell ref="AQ23:AQ31"/>
    <mergeCell ref="V24:V25"/>
    <mergeCell ref="W24:W25"/>
    <mergeCell ref="X24:X25"/>
    <mergeCell ref="V26:V28"/>
    <mergeCell ref="W26:W28"/>
    <mergeCell ref="X26:X28"/>
    <mergeCell ref="Z23:Z31"/>
    <mergeCell ref="AA23:AA31"/>
    <mergeCell ref="AB23:AB31"/>
    <mergeCell ref="AC23:AC31"/>
    <mergeCell ref="AD23:AD31"/>
    <mergeCell ref="AE23:AE31"/>
    <mergeCell ref="W29:W31"/>
    <mergeCell ref="X29:X31"/>
    <mergeCell ref="Q23:Q25"/>
    <mergeCell ref="R23:R31"/>
    <mergeCell ref="S23:S31"/>
    <mergeCell ref="T23:T25"/>
    <mergeCell ref="U23:U25"/>
    <mergeCell ref="Y23:Y31"/>
    <mergeCell ref="Q26:Q28"/>
    <mergeCell ref="T26:T31"/>
    <mergeCell ref="U26:U28"/>
    <mergeCell ref="V29:V31"/>
    <mergeCell ref="U29:U31"/>
    <mergeCell ref="J23:J25"/>
    <mergeCell ref="K23:K25"/>
    <mergeCell ref="L23:L25"/>
    <mergeCell ref="M23:M25"/>
    <mergeCell ref="O23:O31"/>
    <mergeCell ref="P23:P31"/>
    <mergeCell ref="J26:J28"/>
    <mergeCell ref="K26:K28"/>
    <mergeCell ref="L26:L28"/>
    <mergeCell ref="M26:M28"/>
    <mergeCell ref="AO13:AO22"/>
    <mergeCell ref="AP13:AP22"/>
    <mergeCell ref="AQ13:AQ22"/>
    <mergeCell ref="U15:U16"/>
    <mergeCell ref="V15:V16"/>
    <mergeCell ref="W15:W16"/>
    <mergeCell ref="X15:X16"/>
    <mergeCell ref="V17:V22"/>
    <mergeCell ref="W17:W22"/>
    <mergeCell ref="X17:X22"/>
    <mergeCell ref="AA13:AA22"/>
    <mergeCell ref="AB13:AB22"/>
    <mergeCell ref="AC13:AC22"/>
    <mergeCell ref="AD13:AD22"/>
    <mergeCell ref="AE13:AE22"/>
    <mergeCell ref="AN13:AN22"/>
    <mergeCell ref="O13:O22"/>
    <mergeCell ref="P13:P22"/>
    <mergeCell ref="Q13:Q16"/>
    <mergeCell ref="J17:J22"/>
    <mergeCell ref="K17:K22"/>
    <mergeCell ref="L17:L22"/>
    <mergeCell ref="M17:M22"/>
    <mergeCell ref="Q17:Q22"/>
    <mergeCell ref="U17:U22"/>
    <mergeCell ref="R13:R22"/>
    <mergeCell ref="S13:S22"/>
    <mergeCell ref="A11:C87"/>
    <mergeCell ref="D12:F60"/>
    <mergeCell ref="G13:I31"/>
    <mergeCell ref="J13:J16"/>
    <mergeCell ref="K13:K16"/>
    <mergeCell ref="V7:V9"/>
    <mergeCell ref="W7:W9"/>
    <mergeCell ref="X7:X9"/>
    <mergeCell ref="Y7:Z7"/>
    <mergeCell ref="P7:P9"/>
    <mergeCell ref="Q7:Q9"/>
    <mergeCell ref="R7:R9"/>
    <mergeCell ref="S7:S9"/>
    <mergeCell ref="T7:T9"/>
    <mergeCell ref="U7:U9"/>
    <mergeCell ref="J7:J9"/>
    <mergeCell ref="K7:K9"/>
    <mergeCell ref="T13:T22"/>
    <mergeCell ref="U13:U14"/>
    <mergeCell ref="Y13:Y22"/>
    <mergeCell ref="Z13:Z22"/>
    <mergeCell ref="L13:L16"/>
    <mergeCell ref="M13:M16"/>
    <mergeCell ref="N13:N22"/>
    <mergeCell ref="L7:L9"/>
    <mergeCell ref="M7:M9"/>
    <mergeCell ref="N7:N9"/>
    <mergeCell ref="O7:O9"/>
    <mergeCell ref="A1:AO4"/>
    <mergeCell ref="A5:M6"/>
    <mergeCell ref="N5:AQ5"/>
    <mergeCell ref="Y6:AM6"/>
    <mergeCell ref="A7:A9"/>
    <mergeCell ref="B7:C9"/>
    <mergeCell ref="D7:D9"/>
    <mergeCell ref="E7:F9"/>
    <mergeCell ref="G7:G9"/>
    <mergeCell ref="H7:I9"/>
    <mergeCell ref="AK7:AM7"/>
    <mergeCell ref="AN7:AN8"/>
    <mergeCell ref="AO7:AO8"/>
    <mergeCell ref="AP7:AP8"/>
    <mergeCell ref="AQ7:AQ9"/>
    <mergeCell ref="AA7:AD7"/>
    <mergeCell ref="AE7:AJ7"/>
  </mergeCell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77"/>
  <sheetViews>
    <sheetView showGridLines="0" zoomScale="60" zoomScaleNormal="60" workbookViewId="0">
      <pane ySplit="8" topLeftCell="A9" activePane="bottomLeft" state="frozen"/>
      <selection activeCell="G1" sqref="G1"/>
      <selection pane="bottomLeft" activeCell="C11" sqref="C11:D29"/>
    </sheetView>
  </sheetViews>
  <sheetFormatPr baseColWidth="10" defaultColWidth="11.42578125" defaultRowHeight="14.25" x14ac:dyDescent="0.25"/>
  <cols>
    <col min="1" max="1" width="26.42578125" style="369" customWidth="1"/>
    <col min="2" max="2" width="20.28515625" style="156" customWidth="1"/>
    <col min="3" max="3" width="19.5703125" style="156" customWidth="1"/>
    <col min="4" max="4" width="14.7109375" style="156" customWidth="1"/>
    <col min="5" max="5" width="12.28515625" style="156" bestFit="1" customWidth="1"/>
    <col min="6" max="6" width="29.42578125" style="156" customWidth="1"/>
    <col min="7" max="7" width="9.42578125" style="174" customWidth="1"/>
    <col min="8" max="8" width="35.5703125" style="370" customWidth="1"/>
    <col min="9" max="9" width="24.42578125" style="155" customWidth="1"/>
    <col min="10" max="10" width="10.7109375" style="155" customWidth="1"/>
    <col min="11" max="11" width="27" style="155" customWidth="1"/>
    <col min="12" max="12" width="17.85546875" style="173" customWidth="1"/>
    <col min="13" max="13" width="22.140625" style="370" customWidth="1"/>
    <col min="14" max="14" width="12.7109375" style="372" customWidth="1"/>
    <col min="15" max="15" width="24.42578125" style="373" customWidth="1"/>
    <col min="16" max="16" width="29.7109375" style="370" customWidth="1"/>
    <col min="17" max="17" width="39.42578125" style="370" customWidth="1"/>
    <col min="18" max="18" width="40" style="370" customWidth="1"/>
    <col min="19" max="19" width="27.5703125" style="378" customWidth="1"/>
    <col min="20" max="20" width="11.7109375" style="374" customWidth="1"/>
    <col min="21" max="21" width="17.28515625" style="173" customWidth="1"/>
    <col min="22" max="22" width="9.140625" style="156" customWidth="1"/>
    <col min="23" max="23" width="9.7109375" style="156" customWidth="1"/>
    <col min="24" max="24" width="9.85546875" style="156" customWidth="1"/>
    <col min="25" max="25" width="7.28515625" style="156" customWidth="1"/>
    <col min="26" max="26" width="10.42578125" style="156" customWidth="1"/>
    <col min="27" max="27" width="9.42578125" style="156" customWidth="1"/>
    <col min="28" max="36" width="7.28515625" style="156" customWidth="1"/>
    <col min="37" max="37" width="9.85546875" style="156" customWidth="1"/>
    <col min="38" max="38" width="22.28515625" style="375" customWidth="1"/>
    <col min="39" max="39" width="23.42578125" style="376" customWidth="1"/>
    <col min="40" max="40" width="26.140625" style="377" customWidth="1"/>
    <col min="41" max="256" width="11.42578125" style="156"/>
    <col min="257" max="257" width="13.140625" style="156" customWidth="1"/>
    <col min="258" max="258" width="35.28515625" style="156" customWidth="1"/>
    <col min="259" max="259" width="12.85546875" style="156" customWidth="1"/>
    <col min="260" max="260" width="19.5703125" style="156" customWidth="1"/>
    <col min="261" max="261" width="12.28515625" style="156" customWidth="1"/>
    <col min="262" max="262" width="21.28515625" style="156" customWidth="1"/>
    <col min="263" max="263" width="11.5703125" style="156" customWidth="1"/>
    <col min="264" max="264" width="33.140625" style="156" customWidth="1"/>
    <col min="265" max="265" width="22.7109375" style="156" customWidth="1"/>
    <col min="266" max="266" width="10.7109375" style="156" customWidth="1"/>
    <col min="267" max="267" width="27.7109375" style="156" customWidth="1"/>
    <col min="268" max="268" width="21.42578125" style="156" customWidth="1"/>
    <col min="269" max="269" width="22.140625" style="156" customWidth="1"/>
    <col min="270" max="270" width="12.7109375" style="156" customWidth="1"/>
    <col min="271" max="271" width="16.42578125" style="156" customWidth="1"/>
    <col min="272" max="272" width="29.7109375" style="156" customWidth="1"/>
    <col min="273" max="273" width="29.140625" style="156" customWidth="1"/>
    <col min="274" max="274" width="33.5703125" style="156" customWidth="1"/>
    <col min="275" max="275" width="25" style="156" customWidth="1"/>
    <col min="276" max="276" width="11.7109375" style="156" customWidth="1"/>
    <col min="277" max="277" width="17.28515625" style="156" customWidth="1"/>
    <col min="278" max="293" width="7.28515625" style="156" customWidth="1"/>
    <col min="294" max="295" width="13.7109375" style="156" customWidth="1"/>
    <col min="296" max="296" width="20.85546875" style="156" customWidth="1"/>
    <col min="297" max="512" width="11.42578125" style="156"/>
    <col min="513" max="513" width="13.140625" style="156" customWidth="1"/>
    <col min="514" max="514" width="35.28515625" style="156" customWidth="1"/>
    <col min="515" max="515" width="12.85546875" style="156" customWidth="1"/>
    <col min="516" max="516" width="19.5703125" style="156" customWidth="1"/>
    <col min="517" max="517" width="12.28515625" style="156" customWidth="1"/>
    <col min="518" max="518" width="21.28515625" style="156" customWidth="1"/>
    <col min="519" max="519" width="11.5703125" style="156" customWidth="1"/>
    <col min="520" max="520" width="33.140625" style="156" customWidth="1"/>
    <col min="521" max="521" width="22.7109375" style="156" customWidth="1"/>
    <col min="522" max="522" width="10.7109375" style="156" customWidth="1"/>
    <col min="523" max="523" width="27.7109375" style="156" customWidth="1"/>
    <col min="524" max="524" width="21.42578125" style="156" customWidth="1"/>
    <col min="525" max="525" width="22.140625" style="156" customWidth="1"/>
    <col min="526" max="526" width="12.7109375" style="156" customWidth="1"/>
    <col min="527" max="527" width="16.42578125" style="156" customWidth="1"/>
    <col min="528" max="528" width="29.7109375" style="156" customWidth="1"/>
    <col min="529" max="529" width="29.140625" style="156" customWidth="1"/>
    <col min="530" max="530" width="33.5703125" style="156" customWidth="1"/>
    <col min="531" max="531" width="25" style="156" customWidth="1"/>
    <col min="532" max="532" width="11.7109375" style="156" customWidth="1"/>
    <col min="533" max="533" width="17.28515625" style="156" customWidth="1"/>
    <col min="534" max="549" width="7.28515625" style="156" customWidth="1"/>
    <col min="550" max="551" width="13.7109375" style="156" customWidth="1"/>
    <col min="552" max="552" width="20.85546875" style="156" customWidth="1"/>
    <col min="553" max="768" width="11.42578125" style="156"/>
    <col min="769" max="769" width="13.140625" style="156" customWidth="1"/>
    <col min="770" max="770" width="35.28515625" style="156" customWidth="1"/>
    <col min="771" max="771" width="12.85546875" style="156" customWidth="1"/>
    <col min="772" max="772" width="19.5703125" style="156" customWidth="1"/>
    <col min="773" max="773" width="12.28515625" style="156" customWidth="1"/>
    <col min="774" max="774" width="21.28515625" style="156" customWidth="1"/>
    <col min="775" max="775" width="11.5703125" style="156" customWidth="1"/>
    <col min="776" max="776" width="33.140625" style="156" customWidth="1"/>
    <col min="777" max="777" width="22.7109375" style="156" customWidth="1"/>
    <col min="778" max="778" width="10.7109375" style="156" customWidth="1"/>
    <col min="779" max="779" width="27.7109375" style="156" customWidth="1"/>
    <col min="780" max="780" width="21.42578125" style="156" customWidth="1"/>
    <col min="781" max="781" width="22.140625" style="156" customWidth="1"/>
    <col min="782" max="782" width="12.7109375" style="156" customWidth="1"/>
    <col min="783" max="783" width="16.42578125" style="156" customWidth="1"/>
    <col min="784" max="784" width="29.7109375" style="156" customWidth="1"/>
    <col min="785" max="785" width="29.140625" style="156" customWidth="1"/>
    <col min="786" max="786" width="33.5703125" style="156" customWidth="1"/>
    <col min="787" max="787" width="25" style="156" customWidth="1"/>
    <col min="788" max="788" width="11.7109375" style="156" customWidth="1"/>
    <col min="789" max="789" width="17.28515625" style="156" customWidth="1"/>
    <col min="790" max="805" width="7.28515625" style="156" customWidth="1"/>
    <col min="806" max="807" width="13.7109375" style="156" customWidth="1"/>
    <col min="808" max="808" width="20.85546875" style="156" customWidth="1"/>
    <col min="809" max="1024" width="11.42578125" style="156"/>
    <col min="1025" max="1025" width="13.140625" style="156" customWidth="1"/>
    <col min="1026" max="1026" width="35.28515625" style="156" customWidth="1"/>
    <col min="1027" max="1027" width="12.85546875" style="156" customWidth="1"/>
    <col min="1028" max="1028" width="19.5703125" style="156" customWidth="1"/>
    <col min="1029" max="1029" width="12.28515625" style="156" customWidth="1"/>
    <col min="1030" max="1030" width="21.28515625" style="156" customWidth="1"/>
    <col min="1031" max="1031" width="11.5703125" style="156" customWidth="1"/>
    <col min="1032" max="1032" width="33.140625" style="156" customWidth="1"/>
    <col min="1033" max="1033" width="22.7109375" style="156" customWidth="1"/>
    <col min="1034" max="1034" width="10.7109375" style="156" customWidth="1"/>
    <col min="1035" max="1035" width="27.7109375" style="156" customWidth="1"/>
    <col min="1036" max="1036" width="21.42578125" style="156" customWidth="1"/>
    <col min="1037" max="1037" width="22.140625" style="156" customWidth="1"/>
    <col min="1038" max="1038" width="12.7109375" style="156" customWidth="1"/>
    <col min="1039" max="1039" width="16.42578125" style="156" customWidth="1"/>
    <col min="1040" max="1040" width="29.7109375" style="156" customWidth="1"/>
    <col min="1041" max="1041" width="29.140625" style="156" customWidth="1"/>
    <col min="1042" max="1042" width="33.5703125" style="156" customWidth="1"/>
    <col min="1043" max="1043" width="25" style="156" customWidth="1"/>
    <col min="1044" max="1044" width="11.7109375" style="156" customWidth="1"/>
    <col min="1045" max="1045" width="17.28515625" style="156" customWidth="1"/>
    <col min="1046" max="1061" width="7.28515625" style="156" customWidth="1"/>
    <col min="1062" max="1063" width="13.7109375" style="156" customWidth="1"/>
    <col min="1064" max="1064" width="20.85546875" style="156" customWidth="1"/>
    <col min="1065" max="1280" width="11.42578125" style="156"/>
    <col min="1281" max="1281" width="13.140625" style="156" customWidth="1"/>
    <col min="1282" max="1282" width="35.28515625" style="156" customWidth="1"/>
    <col min="1283" max="1283" width="12.85546875" style="156" customWidth="1"/>
    <col min="1284" max="1284" width="19.5703125" style="156" customWidth="1"/>
    <col min="1285" max="1285" width="12.28515625" style="156" customWidth="1"/>
    <col min="1286" max="1286" width="21.28515625" style="156" customWidth="1"/>
    <col min="1287" max="1287" width="11.5703125" style="156" customWidth="1"/>
    <col min="1288" max="1288" width="33.140625" style="156" customWidth="1"/>
    <col min="1289" max="1289" width="22.7109375" style="156" customWidth="1"/>
    <col min="1290" max="1290" width="10.7109375" style="156" customWidth="1"/>
    <col min="1291" max="1291" width="27.7109375" style="156" customWidth="1"/>
    <col min="1292" max="1292" width="21.42578125" style="156" customWidth="1"/>
    <col min="1293" max="1293" width="22.140625" style="156" customWidth="1"/>
    <col min="1294" max="1294" width="12.7109375" style="156" customWidth="1"/>
    <col min="1295" max="1295" width="16.42578125" style="156" customWidth="1"/>
    <col min="1296" max="1296" width="29.7109375" style="156" customWidth="1"/>
    <col min="1297" max="1297" width="29.140625" style="156" customWidth="1"/>
    <col min="1298" max="1298" width="33.5703125" style="156" customWidth="1"/>
    <col min="1299" max="1299" width="25" style="156" customWidth="1"/>
    <col min="1300" max="1300" width="11.7109375" style="156" customWidth="1"/>
    <col min="1301" max="1301" width="17.28515625" style="156" customWidth="1"/>
    <col min="1302" max="1317" width="7.28515625" style="156" customWidth="1"/>
    <col min="1318" max="1319" width="13.7109375" style="156" customWidth="1"/>
    <col min="1320" max="1320" width="20.85546875" style="156" customWidth="1"/>
    <col min="1321" max="1536" width="11.42578125" style="156"/>
    <col min="1537" max="1537" width="13.140625" style="156" customWidth="1"/>
    <col min="1538" max="1538" width="35.28515625" style="156" customWidth="1"/>
    <col min="1539" max="1539" width="12.85546875" style="156" customWidth="1"/>
    <col min="1540" max="1540" width="19.5703125" style="156" customWidth="1"/>
    <col min="1541" max="1541" width="12.28515625" style="156" customWidth="1"/>
    <col min="1542" max="1542" width="21.28515625" style="156" customWidth="1"/>
    <col min="1543" max="1543" width="11.5703125" style="156" customWidth="1"/>
    <col min="1544" max="1544" width="33.140625" style="156" customWidth="1"/>
    <col min="1545" max="1545" width="22.7109375" style="156" customWidth="1"/>
    <col min="1546" max="1546" width="10.7109375" style="156" customWidth="1"/>
    <col min="1547" max="1547" width="27.7109375" style="156" customWidth="1"/>
    <col min="1548" max="1548" width="21.42578125" style="156" customWidth="1"/>
    <col min="1549" max="1549" width="22.140625" style="156" customWidth="1"/>
    <col min="1550" max="1550" width="12.7109375" style="156" customWidth="1"/>
    <col min="1551" max="1551" width="16.42578125" style="156" customWidth="1"/>
    <col min="1552" max="1552" width="29.7109375" style="156" customWidth="1"/>
    <col min="1553" max="1553" width="29.140625" style="156" customWidth="1"/>
    <col min="1554" max="1554" width="33.5703125" style="156" customWidth="1"/>
    <col min="1555" max="1555" width="25" style="156" customWidth="1"/>
    <col min="1556" max="1556" width="11.7109375" style="156" customWidth="1"/>
    <col min="1557" max="1557" width="17.28515625" style="156" customWidth="1"/>
    <col min="1558" max="1573" width="7.28515625" style="156" customWidth="1"/>
    <col min="1574" max="1575" width="13.7109375" style="156" customWidth="1"/>
    <col min="1576" max="1576" width="20.85546875" style="156" customWidth="1"/>
    <col min="1577" max="1792" width="11.42578125" style="156"/>
    <col min="1793" max="1793" width="13.140625" style="156" customWidth="1"/>
    <col min="1794" max="1794" width="35.28515625" style="156" customWidth="1"/>
    <col min="1795" max="1795" width="12.85546875" style="156" customWidth="1"/>
    <col min="1796" max="1796" width="19.5703125" style="156" customWidth="1"/>
    <col min="1797" max="1797" width="12.28515625" style="156" customWidth="1"/>
    <col min="1798" max="1798" width="21.28515625" style="156" customWidth="1"/>
    <col min="1799" max="1799" width="11.5703125" style="156" customWidth="1"/>
    <col min="1800" max="1800" width="33.140625" style="156" customWidth="1"/>
    <col min="1801" max="1801" width="22.7109375" style="156" customWidth="1"/>
    <col min="1802" max="1802" width="10.7109375" style="156" customWidth="1"/>
    <col min="1803" max="1803" width="27.7109375" style="156" customWidth="1"/>
    <col min="1804" max="1804" width="21.42578125" style="156" customWidth="1"/>
    <col min="1805" max="1805" width="22.140625" style="156" customWidth="1"/>
    <col min="1806" max="1806" width="12.7109375" style="156" customWidth="1"/>
    <col min="1807" max="1807" width="16.42578125" style="156" customWidth="1"/>
    <col min="1808" max="1808" width="29.7109375" style="156" customWidth="1"/>
    <col min="1809" max="1809" width="29.140625" style="156" customWidth="1"/>
    <col min="1810" max="1810" width="33.5703125" style="156" customWidth="1"/>
    <col min="1811" max="1811" width="25" style="156" customWidth="1"/>
    <col min="1812" max="1812" width="11.7109375" style="156" customWidth="1"/>
    <col min="1813" max="1813" width="17.28515625" style="156" customWidth="1"/>
    <col min="1814" max="1829" width="7.28515625" style="156" customWidth="1"/>
    <col min="1830" max="1831" width="13.7109375" style="156" customWidth="1"/>
    <col min="1832" max="1832" width="20.85546875" style="156" customWidth="1"/>
    <col min="1833" max="2048" width="11.42578125" style="156"/>
    <col min="2049" max="2049" width="13.140625" style="156" customWidth="1"/>
    <col min="2050" max="2050" width="35.28515625" style="156" customWidth="1"/>
    <col min="2051" max="2051" width="12.85546875" style="156" customWidth="1"/>
    <col min="2052" max="2052" width="19.5703125" style="156" customWidth="1"/>
    <col min="2053" max="2053" width="12.28515625" style="156" customWidth="1"/>
    <col min="2054" max="2054" width="21.28515625" style="156" customWidth="1"/>
    <col min="2055" max="2055" width="11.5703125" style="156" customWidth="1"/>
    <col min="2056" max="2056" width="33.140625" style="156" customWidth="1"/>
    <col min="2057" max="2057" width="22.7109375" style="156" customWidth="1"/>
    <col min="2058" max="2058" width="10.7109375" style="156" customWidth="1"/>
    <col min="2059" max="2059" width="27.7109375" style="156" customWidth="1"/>
    <col min="2060" max="2060" width="21.42578125" style="156" customWidth="1"/>
    <col min="2061" max="2061" width="22.140625" style="156" customWidth="1"/>
    <col min="2062" max="2062" width="12.7109375" style="156" customWidth="1"/>
    <col min="2063" max="2063" width="16.42578125" style="156" customWidth="1"/>
    <col min="2064" max="2064" width="29.7109375" style="156" customWidth="1"/>
    <col min="2065" max="2065" width="29.140625" style="156" customWidth="1"/>
    <col min="2066" max="2066" width="33.5703125" style="156" customWidth="1"/>
    <col min="2067" max="2067" width="25" style="156" customWidth="1"/>
    <col min="2068" max="2068" width="11.7109375" style="156" customWidth="1"/>
    <col min="2069" max="2069" width="17.28515625" style="156" customWidth="1"/>
    <col min="2070" max="2085" width="7.28515625" style="156" customWidth="1"/>
    <col min="2086" max="2087" width="13.7109375" style="156" customWidth="1"/>
    <col min="2088" max="2088" width="20.85546875" style="156" customWidth="1"/>
    <col min="2089" max="2304" width="11.42578125" style="156"/>
    <col min="2305" max="2305" width="13.140625" style="156" customWidth="1"/>
    <col min="2306" max="2306" width="35.28515625" style="156" customWidth="1"/>
    <col min="2307" max="2307" width="12.85546875" style="156" customWidth="1"/>
    <col min="2308" max="2308" width="19.5703125" style="156" customWidth="1"/>
    <col min="2309" max="2309" width="12.28515625" style="156" customWidth="1"/>
    <col min="2310" max="2310" width="21.28515625" style="156" customWidth="1"/>
    <col min="2311" max="2311" width="11.5703125" style="156" customWidth="1"/>
    <col min="2312" max="2312" width="33.140625" style="156" customWidth="1"/>
    <col min="2313" max="2313" width="22.7109375" style="156" customWidth="1"/>
    <col min="2314" max="2314" width="10.7109375" style="156" customWidth="1"/>
    <col min="2315" max="2315" width="27.7109375" style="156" customWidth="1"/>
    <col min="2316" max="2316" width="21.42578125" style="156" customWidth="1"/>
    <col min="2317" max="2317" width="22.140625" style="156" customWidth="1"/>
    <col min="2318" max="2318" width="12.7109375" style="156" customWidth="1"/>
    <col min="2319" max="2319" width="16.42578125" style="156" customWidth="1"/>
    <col min="2320" max="2320" width="29.7109375" style="156" customWidth="1"/>
    <col min="2321" max="2321" width="29.140625" style="156" customWidth="1"/>
    <col min="2322" max="2322" width="33.5703125" style="156" customWidth="1"/>
    <col min="2323" max="2323" width="25" style="156" customWidth="1"/>
    <col min="2324" max="2324" width="11.7109375" style="156" customWidth="1"/>
    <col min="2325" max="2325" width="17.28515625" style="156" customWidth="1"/>
    <col min="2326" max="2341" width="7.28515625" style="156" customWidth="1"/>
    <col min="2342" max="2343" width="13.7109375" style="156" customWidth="1"/>
    <col min="2344" max="2344" width="20.85546875" style="156" customWidth="1"/>
    <col min="2345" max="2560" width="11.42578125" style="156"/>
    <col min="2561" max="2561" width="13.140625" style="156" customWidth="1"/>
    <col min="2562" max="2562" width="35.28515625" style="156" customWidth="1"/>
    <col min="2563" max="2563" width="12.85546875" style="156" customWidth="1"/>
    <col min="2564" max="2564" width="19.5703125" style="156" customWidth="1"/>
    <col min="2565" max="2565" width="12.28515625" style="156" customWidth="1"/>
    <col min="2566" max="2566" width="21.28515625" style="156" customWidth="1"/>
    <col min="2567" max="2567" width="11.5703125" style="156" customWidth="1"/>
    <col min="2568" max="2568" width="33.140625" style="156" customWidth="1"/>
    <col min="2569" max="2569" width="22.7109375" style="156" customWidth="1"/>
    <col min="2570" max="2570" width="10.7109375" style="156" customWidth="1"/>
    <col min="2571" max="2571" width="27.7109375" style="156" customWidth="1"/>
    <col min="2572" max="2572" width="21.42578125" style="156" customWidth="1"/>
    <col min="2573" max="2573" width="22.140625" style="156" customWidth="1"/>
    <col min="2574" max="2574" width="12.7109375" style="156" customWidth="1"/>
    <col min="2575" max="2575" width="16.42578125" style="156" customWidth="1"/>
    <col min="2576" max="2576" width="29.7109375" style="156" customWidth="1"/>
    <col min="2577" max="2577" width="29.140625" style="156" customWidth="1"/>
    <col min="2578" max="2578" width="33.5703125" style="156" customWidth="1"/>
    <col min="2579" max="2579" width="25" style="156" customWidth="1"/>
    <col min="2580" max="2580" width="11.7109375" style="156" customWidth="1"/>
    <col min="2581" max="2581" width="17.28515625" style="156" customWidth="1"/>
    <col min="2582" max="2597" width="7.28515625" style="156" customWidth="1"/>
    <col min="2598" max="2599" width="13.7109375" style="156" customWidth="1"/>
    <col min="2600" max="2600" width="20.85546875" style="156" customWidth="1"/>
    <col min="2601" max="2816" width="11.42578125" style="156"/>
    <col min="2817" max="2817" width="13.140625" style="156" customWidth="1"/>
    <col min="2818" max="2818" width="35.28515625" style="156" customWidth="1"/>
    <col min="2819" max="2819" width="12.85546875" style="156" customWidth="1"/>
    <col min="2820" max="2820" width="19.5703125" style="156" customWidth="1"/>
    <col min="2821" max="2821" width="12.28515625" style="156" customWidth="1"/>
    <col min="2822" max="2822" width="21.28515625" style="156" customWidth="1"/>
    <col min="2823" max="2823" width="11.5703125" style="156" customWidth="1"/>
    <col min="2824" max="2824" width="33.140625" style="156" customWidth="1"/>
    <col min="2825" max="2825" width="22.7109375" style="156" customWidth="1"/>
    <col min="2826" max="2826" width="10.7109375" style="156" customWidth="1"/>
    <col min="2827" max="2827" width="27.7109375" style="156" customWidth="1"/>
    <col min="2828" max="2828" width="21.42578125" style="156" customWidth="1"/>
    <col min="2829" max="2829" width="22.140625" style="156" customWidth="1"/>
    <col min="2830" max="2830" width="12.7109375" style="156" customWidth="1"/>
    <col min="2831" max="2831" width="16.42578125" style="156" customWidth="1"/>
    <col min="2832" max="2832" width="29.7109375" style="156" customWidth="1"/>
    <col min="2833" max="2833" width="29.140625" style="156" customWidth="1"/>
    <col min="2834" max="2834" width="33.5703125" style="156" customWidth="1"/>
    <col min="2835" max="2835" width="25" style="156" customWidth="1"/>
    <col min="2836" max="2836" width="11.7109375" style="156" customWidth="1"/>
    <col min="2837" max="2837" width="17.28515625" style="156" customWidth="1"/>
    <col min="2838" max="2853" width="7.28515625" style="156" customWidth="1"/>
    <col min="2854" max="2855" width="13.7109375" style="156" customWidth="1"/>
    <col min="2856" max="2856" width="20.85546875" style="156" customWidth="1"/>
    <col min="2857" max="3072" width="11.42578125" style="156"/>
    <col min="3073" max="3073" width="13.140625" style="156" customWidth="1"/>
    <col min="3074" max="3074" width="35.28515625" style="156" customWidth="1"/>
    <col min="3075" max="3075" width="12.85546875" style="156" customWidth="1"/>
    <col min="3076" max="3076" width="19.5703125" style="156" customWidth="1"/>
    <col min="3077" max="3077" width="12.28515625" style="156" customWidth="1"/>
    <col min="3078" max="3078" width="21.28515625" style="156" customWidth="1"/>
    <col min="3079" max="3079" width="11.5703125" style="156" customWidth="1"/>
    <col min="3080" max="3080" width="33.140625" style="156" customWidth="1"/>
    <col min="3081" max="3081" width="22.7109375" style="156" customWidth="1"/>
    <col min="3082" max="3082" width="10.7109375" style="156" customWidth="1"/>
    <col min="3083" max="3083" width="27.7109375" style="156" customWidth="1"/>
    <col min="3084" max="3084" width="21.42578125" style="156" customWidth="1"/>
    <col min="3085" max="3085" width="22.140625" style="156" customWidth="1"/>
    <col min="3086" max="3086" width="12.7109375" style="156" customWidth="1"/>
    <col min="3087" max="3087" width="16.42578125" style="156" customWidth="1"/>
    <col min="3088" max="3088" width="29.7109375" style="156" customWidth="1"/>
    <col min="3089" max="3089" width="29.140625" style="156" customWidth="1"/>
    <col min="3090" max="3090" width="33.5703125" style="156" customWidth="1"/>
    <col min="3091" max="3091" width="25" style="156" customWidth="1"/>
    <col min="3092" max="3092" width="11.7109375" style="156" customWidth="1"/>
    <col min="3093" max="3093" width="17.28515625" style="156" customWidth="1"/>
    <col min="3094" max="3109" width="7.28515625" style="156" customWidth="1"/>
    <col min="3110" max="3111" width="13.7109375" style="156" customWidth="1"/>
    <col min="3112" max="3112" width="20.85546875" style="156" customWidth="1"/>
    <col min="3113" max="3328" width="11.42578125" style="156"/>
    <col min="3329" max="3329" width="13.140625" style="156" customWidth="1"/>
    <col min="3330" max="3330" width="35.28515625" style="156" customWidth="1"/>
    <col min="3331" max="3331" width="12.85546875" style="156" customWidth="1"/>
    <col min="3332" max="3332" width="19.5703125" style="156" customWidth="1"/>
    <col min="3333" max="3333" width="12.28515625" style="156" customWidth="1"/>
    <col min="3334" max="3334" width="21.28515625" style="156" customWidth="1"/>
    <col min="3335" max="3335" width="11.5703125" style="156" customWidth="1"/>
    <col min="3336" max="3336" width="33.140625" style="156" customWidth="1"/>
    <col min="3337" max="3337" width="22.7109375" style="156" customWidth="1"/>
    <col min="3338" max="3338" width="10.7109375" style="156" customWidth="1"/>
    <col min="3339" max="3339" width="27.7109375" style="156" customWidth="1"/>
    <col min="3340" max="3340" width="21.42578125" style="156" customWidth="1"/>
    <col min="3341" max="3341" width="22.140625" style="156" customWidth="1"/>
    <col min="3342" max="3342" width="12.7109375" style="156" customWidth="1"/>
    <col min="3343" max="3343" width="16.42578125" style="156" customWidth="1"/>
    <col min="3344" max="3344" width="29.7109375" style="156" customWidth="1"/>
    <col min="3345" max="3345" width="29.140625" style="156" customWidth="1"/>
    <col min="3346" max="3346" width="33.5703125" style="156" customWidth="1"/>
    <col min="3347" max="3347" width="25" style="156" customWidth="1"/>
    <col min="3348" max="3348" width="11.7109375" style="156" customWidth="1"/>
    <col min="3349" max="3349" width="17.28515625" style="156" customWidth="1"/>
    <col min="3350" max="3365" width="7.28515625" style="156" customWidth="1"/>
    <col min="3366" max="3367" width="13.7109375" style="156" customWidth="1"/>
    <col min="3368" max="3368" width="20.85546875" style="156" customWidth="1"/>
    <col min="3369" max="3584" width="11.42578125" style="156"/>
    <col min="3585" max="3585" width="13.140625" style="156" customWidth="1"/>
    <col min="3586" max="3586" width="35.28515625" style="156" customWidth="1"/>
    <col min="3587" max="3587" width="12.85546875" style="156" customWidth="1"/>
    <col min="3588" max="3588" width="19.5703125" style="156" customWidth="1"/>
    <col min="3589" max="3589" width="12.28515625" style="156" customWidth="1"/>
    <col min="3590" max="3590" width="21.28515625" style="156" customWidth="1"/>
    <col min="3591" max="3591" width="11.5703125" style="156" customWidth="1"/>
    <col min="3592" max="3592" width="33.140625" style="156" customWidth="1"/>
    <col min="3593" max="3593" width="22.7109375" style="156" customWidth="1"/>
    <col min="3594" max="3594" width="10.7109375" style="156" customWidth="1"/>
    <col min="3595" max="3595" width="27.7109375" style="156" customWidth="1"/>
    <col min="3596" max="3596" width="21.42578125" style="156" customWidth="1"/>
    <col min="3597" max="3597" width="22.140625" style="156" customWidth="1"/>
    <col min="3598" max="3598" width="12.7109375" style="156" customWidth="1"/>
    <col min="3599" max="3599" width="16.42578125" style="156" customWidth="1"/>
    <col min="3600" max="3600" width="29.7109375" style="156" customWidth="1"/>
    <col min="3601" max="3601" width="29.140625" style="156" customWidth="1"/>
    <col min="3602" max="3602" width="33.5703125" style="156" customWidth="1"/>
    <col min="3603" max="3603" width="25" style="156" customWidth="1"/>
    <col min="3604" max="3604" width="11.7109375" style="156" customWidth="1"/>
    <col min="3605" max="3605" width="17.28515625" style="156" customWidth="1"/>
    <col min="3606" max="3621" width="7.28515625" style="156" customWidth="1"/>
    <col min="3622" max="3623" width="13.7109375" style="156" customWidth="1"/>
    <col min="3624" max="3624" width="20.85546875" style="156" customWidth="1"/>
    <col min="3625" max="3840" width="11.42578125" style="156"/>
    <col min="3841" max="3841" width="13.140625" style="156" customWidth="1"/>
    <col min="3842" max="3842" width="35.28515625" style="156" customWidth="1"/>
    <col min="3843" max="3843" width="12.85546875" style="156" customWidth="1"/>
    <col min="3844" max="3844" width="19.5703125" style="156" customWidth="1"/>
    <col min="3845" max="3845" width="12.28515625" style="156" customWidth="1"/>
    <col min="3846" max="3846" width="21.28515625" style="156" customWidth="1"/>
    <col min="3847" max="3847" width="11.5703125" style="156" customWidth="1"/>
    <col min="3848" max="3848" width="33.140625" style="156" customWidth="1"/>
    <col min="3849" max="3849" width="22.7109375" style="156" customWidth="1"/>
    <col min="3850" max="3850" width="10.7109375" style="156" customWidth="1"/>
    <col min="3851" max="3851" width="27.7109375" style="156" customWidth="1"/>
    <col min="3852" max="3852" width="21.42578125" style="156" customWidth="1"/>
    <col min="3853" max="3853" width="22.140625" style="156" customWidth="1"/>
    <col min="3854" max="3854" width="12.7109375" style="156" customWidth="1"/>
    <col min="3855" max="3855" width="16.42578125" style="156" customWidth="1"/>
    <col min="3856" max="3856" width="29.7109375" style="156" customWidth="1"/>
    <col min="3857" max="3857" width="29.140625" style="156" customWidth="1"/>
    <col min="3858" max="3858" width="33.5703125" style="156" customWidth="1"/>
    <col min="3859" max="3859" width="25" style="156" customWidth="1"/>
    <col min="3860" max="3860" width="11.7109375" style="156" customWidth="1"/>
    <col min="3861" max="3861" width="17.28515625" style="156" customWidth="1"/>
    <col min="3862" max="3877" width="7.28515625" style="156" customWidth="1"/>
    <col min="3878" max="3879" width="13.7109375" style="156" customWidth="1"/>
    <col min="3880" max="3880" width="20.85546875" style="156" customWidth="1"/>
    <col min="3881" max="4096" width="11.42578125" style="156"/>
    <col min="4097" max="4097" width="13.140625" style="156" customWidth="1"/>
    <col min="4098" max="4098" width="35.28515625" style="156" customWidth="1"/>
    <col min="4099" max="4099" width="12.85546875" style="156" customWidth="1"/>
    <col min="4100" max="4100" width="19.5703125" style="156" customWidth="1"/>
    <col min="4101" max="4101" width="12.28515625" style="156" customWidth="1"/>
    <col min="4102" max="4102" width="21.28515625" style="156" customWidth="1"/>
    <col min="4103" max="4103" width="11.5703125" style="156" customWidth="1"/>
    <col min="4104" max="4104" width="33.140625" style="156" customWidth="1"/>
    <col min="4105" max="4105" width="22.7109375" style="156" customWidth="1"/>
    <col min="4106" max="4106" width="10.7109375" style="156" customWidth="1"/>
    <col min="4107" max="4107" width="27.7109375" style="156" customWidth="1"/>
    <col min="4108" max="4108" width="21.42578125" style="156" customWidth="1"/>
    <col min="4109" max="4109" width="22.140625" style="156" customWidth="1"/>
    <col min="4110" max="4110" width="12.7109375" style="156" customWidth="1"/>
    <col min="4111" max="4111" width="16.42578125" style="156" customWidth="1"/>
    <col min="4112" max="4112" width="29.7109375" style="156" customWidth="1"/>
    <col min="4113" max="4113" width="29.140625" style="156" customWidth="1"/>
    <col min="4114" max="4114" width="33.5703125" style="156" customWidth="1"/>
    <col min="4115" max="4115" width="25" style="156" customWidth="1"/>
    <col min="4116" max="4116" width="11.7109375" style="156" customWidth="1"/>
    <col min="4117" max="4117" width="17.28515625" style="156" customWidth="1"/>
    <col min="4118" max="4133" width="7.28515625" style="156" customWidth="1"/>
    <col min="4134" max="4135" width="13.7109375" style="156" customWidth="1"/>
    <col min="4136" max="4136" width="20.85546875" style="156" customWidth="1"/>
    <col min="4137" max="4352" width="11.42578125" style="156"/>
    <col min="4353" max="4353" width="13.140625" style="156" customWidth="1"/>
    <col min="4354" max="4354" width="35.28515625" style="156" customWidth="1"/>
    <col min="4355" max="4355" width="12.85546875" style="156" customWidth="1"/>
    <col min="4356" max="4356" width="19.5703125" style="156" customWidth="1"/>
    <col min="4357" max="4357" width="12.28515625" style="156" customWidth="1"/>
    <col min="4358" max="4358" width="21.28515625" style="156" customWidth="1"/>
    <col min="4359" max="4359" width="11.5703125" style="156" customWidth="1"/>
    <col min="4360" max="4360" width="33.140625" style="156" customWidth="1"/>
    <col min="4361" max="4361" width="22.7109375" style="156" customWidth="1"/>
    <col min="4362" max="4362" width="10.7109375" style="156" customWidth="1"/>
    <col min="4363" max="4363" width="27.7109375" style="156" customWidth="1"/>
    <col min="4364" max="4364" width="21.42578125" style="156" customWidth="1"/>
    <col min="4365" max="4365" width="22.140625" style="156" customWidth="1"/>
    <col min="4366" max="4366" width="12.7109375" style="156" customWidth="1"/>
    <col min="4367" max="4367" width="16.42578125" style="156" customWidth="1"/>
    <col min="4368" max="4368" width="29.7109375" style="156" customWidth="1"/>
    <col min="4369" max="4369" width="29.140625" style="156" customWidth="1"/>
    <col min="4370" max="4370" width="33.5703125" style="156" customWidth="1"/>
    <col min="4371" max="4371" width="25" style="156" customWidth="1"/>
    <col min="4372" max="4372" width="11.7109375" style="156" customWidth="1"/>
    <col min="4373" max="4373" width="17.28515625" style="156" customWidth="1"/>
    <col min="4374" max="4389" width="7.28515625" style="156" customWidth="1"/>
    <col min="4390" max="4391" width="13.7109375" style="156" customWidth="1"/>
    <col min="4392" max="4392" width="20.85546875" style="156" customWidth="1"/>
    <col min="4393" max="4608" width="11.42578125" style="156"/>
    <col min="4609" max="4609" width="13.140625" style="156" customWidth="1"/>
    <col min="4610" max="4610" width="35.28515625" style="156" customWidth="1"/>
    <col min="4611" max="4611" width="12.85546875" style="156" customWidth="1"/>
    <col min="4612" max="4612" width="19.5703125" style="156" customWidth="1"/>
    <col min="4613" max="4613" width="12.28515625" style="156" customWidth="1"/>
    <col min="4614" max="4614" width="21.28515625" style="156" customWidth="1"/>
    <col min="4615" max="4615" width="11.5703125" style="156" customWidth="1"/>
    <col min="4616" max="4616" width="33.140625" style="156" customWidth="1"/>
    <col min="4617" max="4617" width="22.7109375" style="156" customWidth="1"/>
    <col min="4618" max="4618" width="10.7109375" style="156" customWidth="1"/>
    <col min="4619" max="4619" width="27.7109375" style="156" customWidth="1"/>
    <col min="4620" max="4620" width="21.42578125" style="156" customWidth="1"/>
    <col min="4621" max="4621" width="22.140625" style="156" customWidth="1"/>
    <col min="4622" max="4622" width="12.7109375" style="156" customWidth="1"/>
    <col min="4623" max="4623" width="16.42578125" style="156" customWidth="1"/>
    <col min="4624" max="4624" width="29.7109375" style="156" customWidth="1"/>
    <col min="4625" max="4625" width="29.140625" style="156" customWidth="1"/>
    <col min="4626" max="4626" width="33.5703125" style="156" customWidth="1"/>
    <col min="4627" max="4627" width="25" style="156" customWidth="1"/>
    <col min="4628" max="4628" width="11.7109375" style="156" customWidth="1"/>
    <col min="4629" max="4629" width="17.28515625" style="156" customWidth="1"/>
    <col min="4630" max="4645" width="7.28515625" style="156" customWidth="1"/>
    <col min="4646" max="4647" width="13.7109375" style="156" customWidth="1"/>
    <col min="4648" max="4648" width="20.85546875" style="156" customWidth="1"/>
    <col min="4649" max="4864" width="11.42578125" style="156"/>
    <col min="4865" max="4865" width="13.140625" style="156" customWidth="1"/>
    <col min="4866" max="4866" width="35.28515625" style="156" customWidth="1"/>
    <col min="4867" max="4867" width="12.85546875" style="156" customWidth="1"/>
    <col min="4868" max="4868" width="19.5703125" style="156" customWidth="1"/>
    <col min="4869" max="4869" width="12.28515625" style="156" customWidth="1"/>
    <col min="4870" max="4870" width="21.28515625" style="156" customWidth="1"/>
    <col min="4871" max="4871" width="11.5703125" style="156" customWidth="1"/>
    <col min="4872" max="4872" width="33.140625" style="156" customWidth="1"/>
    <col min="4873" max="4873" width="22.7109375" style="156" customWidth="1"/>
    <col min="4874" max="4874" width="10.7109375" style="156" customWidth="1"/>
    <col min="4875" max="4875" width="27.7109375" style="156" customWidth="1"/>
    <col min="4876" max="4876" width="21.42578125" style="156" customWidth="1"/>
    <col min="4877" max="4877" width="22.140625" style="156" customWidth="1"/>
    <col min="4878" max="4878" width="12.7109375" style="156" customWidth="1"/>
    <col min="4879" max="4879" width="16.42578125" style="156" customWidth="1"/>
    <col min="4880" max="4880" width="29.7109375" style="156" customWidth="1"/>
    <col min="4881" max="4881" width="29.140625" style="156" customWidth="1"/>
    <col min="4882" max="4882" width="33.5703125" style="156" customWidth="1"/>
    <col min="4883" max="4883" width="25" style="156" customWidth="1"/>
    <col min="4884" max="4884" width="11.7109375" style="156" customWidth="1"/>
    <col min="4885" max="4885" width="17.28515625" style="156" customWidth="1"/>
    <col min="4886" max="4901" width="7.28515625" style="156" customWidth="1"/>
    <col min="4902" max="4903" width="13.7109375" style="156" customWidth="1"/>
    <col min="4904" max="4904" width="20.85546875" style="156" customWidth="1"/>
    <col min="4905" max="5120" width="11.42578125" style="156"/>
    <col min="5121" max="5121" width="13.140625" style="156" customWidth="1"/>
    <col min="5122" max="5122" width="35.28515625" style="156" customWidth="1"/>
    <col min="5123" max="5123" width="12.85546875" style="156" customWidth="1"/>
    <col min="5124" max="5124" width="19.5703125" style="156" customWidth="1"/>
    <col min="5125" max="5125" width="12.28515625" style="156" customWidth="1"/>
    <col min="5126" max="5126" width="21.28515625" style="156" customWidth="1"/>
    <col min="5127" max="5127" width="11.5703125" style="156" customWidth="1"/>
    <col min="5128" max="5128" width="33.140625" style="156" customWidth="1"/>
    <col min="5129" max="5129" width="22.7109375" style="156" customWidth="1"/>
    <col min="5130" max="5130" width="10.7109375" style="156" customWidth="1"/>
    <col min="5131" max="5131" width="27.7109375" style="156" customWidth="1"/>
    <col min="5132" max="5132" width="21.42578125" style="156" customWidth="1"/>
    <col min="5133" max="5133" width="22.140625" style="156" customWidth="1"/>
    <col min="5134" max="5134" width="12.7109375" style="156" customWidth="1"/>
    <col min="5135" max="5135" width="16.42578125" style="156" customWidth="1"/>
    <col min="5136" max="5136" width="29.7109375" style="156" customWidth="1"/>
    <col min="5137" max="5137" width="29.140625" style="156" customWidth="1"/>
    <col min="5138" max="5138" width="33.5703125" style="156" customWidth="1"/>
    <col min="5139" max="5139" width="25" style="156" customWidth="1"/>
    <col min="5140" max="5140" width="11.7109375" style="156" customWidth="1"/>
    <col min="5141" max="5141" width="17.28515625" style="156" customWidth="1"/>
    <col min="5142" max="5157" width="7.28515625" style="156" customWidth="1"/>
    <col min="5158" max="5159" width="13.7109375" style="156" customWidth="1"/>
    <col min="5160" max="5160" width="20.85546875" style="156" customWidth="1"/>
    <col min="5161" max="5376" width="11.42578125" style="156"/>
    <col min="5377" max="5377" width="13.140625" style="156" customWidth="1"/>
    <col min="5378" max="5378" width="35.28515625" style="156" customWidth="1"/>
    <col min="5379" max="5379" width="12.85546875" style="156" customWidth="1"/>
    <col min="5380" max="5380" width="19.5703125" style="156" customWidth="1"/>
    <col min="5381" max="5381" width="12.28515625" style="156" customWidth="1"/>
    <col min="5382" max="5382" width="21.28515625" style="156" customWidth="1"/>
    <col min="5383" max="5383" width="11.5703125" style="156" customWidth="1"/>
    <col min="5384" max="5384" width="33.140625" style="156" customWidth="1"/>
    <col min="5385" max="5385" width="22.7109375" style="156" customWidth="1"/>
    <col min="5386" max="5386" width="10.7109375" style="156" customWidth="1"/>
    <col min="5387" max="5387" width="27.7109375" style="156" customWidth="1"/>
    <col min="5388" max="5388" width="21.42578125" style="156" customWidth="1"/>
    <col min="5389" max="5389" width="22.140625" style="156" customWidth="1"/>
    <col min="5390" max="5390" width="12.7109375" style="156" customWidth="1"/>
    <col min="5391" max="5391" width="16.42578125" style="156" customWidth="1"/>
    <col min="5392" max="5392" width="29.7109375" style="156" customWidth="1"/>
    <col min="5393" max="5393" width="29.140625" style="156" customWidth="1"/>
    <col min="5394" max="5394" width="33.5703125" style="156" customWidth="1"/>
    <col min="5395" max="5395" width="25" style="156" customWidth="1"/>
    <col min="5396" max="5396" width="11.7109375" style="156" customWidth="1"/>
    <col min="5397" max="5397" width="17.28515625" style="156" customWidth="1"/>
    <col min="5398" max="5413" width="7.28515625" style="156" customWidth="1"/>
    <col min="5414" max="5415" width="13.7109375" style="156" customWidth="1"/>
    <col min="5416" max="5416" width="20.85546875" style="156" customWidth="1"/>
    <col min="5417" max="5632" width="11.42578125" style="156"/>
    <col min="5633" max="5633" width="13.140625" style="156" customWidth="1"/>
    <col min="5634" max="5634" width="35.28515625" style="156" customWidth="1"/>
    <col min="5635" max="5635" width="12.85546875" style="156" customWidth="1"/>
    <col min="5636" max="5636" width="19.5703125" style="156" customWidth="1"/>
    <col min="5637" max="5637" width="12.28515625" style="156" customWidth="1"/>
    <col min="5638" max="5638" width="21.28515625" style="156" customWidth="1"/>
    <col min="5639" max="5639" width="11.5703125" style="156" customWidth="1"/>
    <col min="5640" max="5640" width="33.140625" style="156" customWidth="1"/>
    <col min="5641" max="5641" width="22.7109375" style="156" customWidth="1"/>
    <col min="5642" max="5642" width="10.7109375" style="156" customWidth="1"/>
    <col min="5643" max="5643" width="27.7109375" style="156" customWidth="1"/>
    <col min="5644" max="5644" width="21.42578125" style="156" customWidth="1"/>
    <col min="5645" max="5645" width="22.140625" style="156" customWidth="1"/>
    <col min="5646" max="5646" width="12.7109375" style="156" customWidth="1"/>
    <col min="5647" max="5647" width="16.42578125" style="156" customWidth="1"/>
    <col min="5648" max="5648" width="29.7109375" style="156" customWidth="1"/>
    <col min="5649" max="5649" width="29.140625" style="156" customWidth="1"/>
    <col min="5650" max="5650" width="33.5703125" style="156" customWidth="1"/>
    <col min="5651" max="5651" width="25" style="156" customWidth="1"/>
    <col min="5652" max="5652" width="11.7109375" style="156" customWidth="1"/>
    <col min="5653" max="5653" width="17.28515625" style="156" customWidth="1"/>
    <col min="5654" max="5669" width="7.28515625" style="156" customWidth="1"/>
    <col min="5670" max="5671" width="13.7109375" style="156" customWidth="1"/>
    <col min="5672" max="5672" width="20.85546875" style="156" customWidth="1"/>
    <col min="5673" max="5888" width="11.42578125" style="156"/>
    <col min="5889" max="5889" width="13.140625" style="156" customWidth="1"/>
    <col min="5890" max="5890" width="35.28515625" style="156" customWidth="1"/>
    <col min="5891" max="5891" width="12.85546875" style="156" customWidth="1"/>
    <col min="5892" max="5892" width="19.5703125" style="156" customWidth="1"/>
    <col min="5893" max="5893" width="12.28515625" style="156" customWidth="1"/>
    <col min="5894" max="5894" width="21.28515625" style="156" customWidth="1"/>
    <col min="5895" max="5895" width="11.5703125" style="156" customWidth="1"/>
    <col min="5896" max="5896" width="33.140625" style="156" customWidth="1"/>
    <col min="5897" max="5897" width="22.7109375" style="156" customWidth="1"/>
    <col min="5898" max="5898" width="10.7109375" style="156" customWidth="1"/>
    <col min="5899" max="5899" width="27.7109375" style="156" customWidth="1"/>
    <col min="5900" max="5900" width="21.42578125" style="156" customWidth="1"/>
    <col min="5901" max="5901" width="22.140625" style="156" customWidth="1"/>
    <col min="5902" max="5902" width="12.7109375" style="156" customWidth="1"/>
    <col min="5903" max="5903" width="16.42578125" style="156" customWidth="1"/>
    <col min="5904" max="5904" width="29.7109375" style="156" customWidth="1"/>
    <col min="5905" max="5905" width="29.140625" style="156" customWidth="1"/>
    <col min="5906" max="5906" width="33.5703125" style="156" customWidth="1"/>
    <col min="5907" max="5907" width="25" style="156" customWidth="1"/>
    <col min="5908" max="5908" width="11.7109375" style="156" customWidth="1"/>
    <col min="5909" max="5909" width="17.28515625" style="156" customWidth="1"/>
    <col min="5910" max="5925" width="7.28515625" style="156" customWidth="1"/>
    <col min="5926" max="5927" width="13.7109375" style="156" customWidth="1"/>
    <col min="5928" max="5928" width="20.85546875" style="156" customWidth="1"/>
    <col min="5929" max="6144" width="11.42578125" style="156"/>
    <col min="6145" max="6145" width="13.140625" style="156" customWidth="1"/>
    <col min="6146" max="6146" width="35.28515625" style="156" customWidth="1"/>
    <col min="6147" max="6147" width="12.85546875" style="156" customWidth="1"/>
    <col min="6148" max="6148" width="19.5703125" style="156" customWidth="1"/>
    <col min="6149" max="6149" width="12.28515625" style="156" customWidth="1"/>
    <col min="6150" max="6150" width="21.28515625" style="156" customWidth="1"/>
    <col min="6151" max="6151" width="11.5703125" style="156" customWidth="1"/>
    <col min="6152" max="6152" width="33.140625" style="156" customWidth="1"/>
    <col min="6153" max="6153" width="22.7109375" style="156" customWidth="1"/>
    <col min="6154" max="6154" width="10.7109375" style="156" customWidth="1"/>
    <col min="6155" max="6155" width="27.7109375" style="156" customWidth="1"/>
    <col min="6156" max="6156" width="21.42578125" style="156" customWidth="1"/>
    <col min="6157" max="6157" width="22.140625" style="156" customWidth="1"/>
    <col min="6158" max="6158" width="12.7109375" style="156" customWidth="1"/>
    <col min="6159" max="6159" width="16.42578125" style="156" customWidth="1"/>
    <col min="6160" max="6160" width="29.7109375" style="156" customWidth="1"/>
    <col min="6161" max="6161" width="29.140625" style="156" customWidth="1"/>
    <col min="6162" max="6162" width="33.5703125" style="156" customWidth="1"/>
    <col min="6163" max="6163" width="25" style="156" customWidth="1"/>
    <col min="6164" max="6164" width="11.7109375" style="156" customWidth="1"/>
    <col min="6165" max="6165" width="17.28515625" style="156" customWidth="1"/>
    <col min="6166" max="6181" width="7.28515625" style="156" customWidth="1"/>
    <col min="6182" max="6183" width="13.7109375" style="156" customWidth="1"/>
    <col min="6184" max="6184" width="20.85546875" style="156" customWidth="1"/>
    <col min="6185" max="6400" width="11.42578125" style="156"/>
    <col min="6401" max="6401" width="13.140625" style="156" customWidth="1"/>
    <col min="6402" max="6402" width="35.28515625" style="156" customWidth="1"/>
    <col min="6403" max="6403" width="12.85546875" style="156" customWidth="1"/>
    <col min="6404" max="6404" width="19.5703125" style="156" customWidth="1"/>
    <col min="6405" max="6405" width="12.28515625" style="156" customWidth="1"/>
    <col min="6406" max="6406" width="21.28515625" style="156" customWidth="1"/>
    <col min="6407" max="6407" width="11.5703125" style="156" customWidth="1"/>
    <col min="6408" max="6408" width="33.140625" style="156" customWidth="1"/>
    <col min="6409" max="6409" width="22.7109375" style="156" customWidth="1"/>
    <col min="6410" max="6410" width="10.7109375" style="156" customWidth="1"/>
    <col min="6411" max="6411" width="27.7109375" style="156" customWidth="1"/>
    <col min="6412" max="6412" width="21.42578125" style="156" customWidth="1"/>
    <col min="6413" max="6413" width="22.140625" style="156" customWidth="1"/>
    <col min="6414" max="6414" width="12.7109375" style="156" customWidth="1"/>
    <col min="6415" max="6415" width="16.42578125" style="156" customWidth="1"/>
    <col min="6416" max="6416" width="29.7109375" style="156" customWidth="1"/>
    <col min="6417" max="6417" width="29.140625" style="156" customWidth="1"/>
    <col min="6418" max="6418" width="33.5703125" style="156" customWidth="1"/>
    <col min="6419" max="6419" width="25" style="156" customWidth="1"/>
    <col min="6420" max="6420" width="11.7109375" style="156" customWidth="1"/>
    <col min="6421" max="6421" width="17.28515625" style="156" customWidth="1"/>
    <col min="6422" max="6437" width="7.28515625" style="156" customWidth="1"/>
    <col min="6438" max="6439" width="13.7109375" style="156" customWidth="1"/>
    <col min="6440" max="6440" width="20.85546875" style="156" customWidth="1"/>
    <col min="6441" max="6656" width="11.42578125" style="156"/>
    <col min="6657" max="6657" width="13.140625" style="156" customWidth="1"/>
    <col min="6658" max="6658" width="35.28515625" style="156" customWidth="1"/>
    <col min="6659" max="6659" width="12.85546875" style="156" customWidth="1"/>
    <col min="6660" max="6660" width="19.5703125" style="156" customWidth="1"/>
    <col min="6661" max="6661" width="12.28515625" style="156" customWidth="1"/>
    <col min="6662" max="6662" width="21.28515625" style="156" customWidth="1"/>
    <col min="6663" max="6663" width="11.5703125" style="156" customWidth="1"/>
    <col min="6664" max="6664" width="33.140625" style="156" customWidth="1"/>
    <col min="6665" max="6665" width="22.7109375" style="156" customWidth="1"/>
    <col min="6666" max="6666" width="10.7109375" style="156" customWidth="1"/>
    <col min="6667" max="6667" width="27.7109375" style="156" customWidth="1"/>
    <col min="6668" max="6668" width="21.42578125" style="156" customWidth="1"/>
    <col min="6669" max="6669" width="22.140625" style="156" customWidth="1"/>
    <col min="6670" max="6670" width="12.7109375" style="156" customWidth="1"/>
    <col min="6671" max="6671" width="16.42578125" style="156" customWidth="1"/>
    <col min="6672" max="6672" width="29.7109375" style="156" customWidth="1"/>
    <col min="6673" max="6673" width="29.140625" style="156" customWidth="1"/>
    <col min="6674" max="6674" width="33.5703125" style="156" customWidth="1"/>
    <col min="6675" max="6675" width="25" style="156" customWidth="1"/>
    <col min="6676" max="6676" width="11.7109375" style="156" customWidth="1"/>
    <col min="6677" max="6677" width="17.28515625" style="156" customWidth="1"/>
    <col min="6678" max="6693" width="7.28515625" style="156" customWidth="1"/>
    <col min="6694" max="6695" width="13.7109375" style="156" customWidth="1"/>
    <col min="6696" max="6696" width="20.85546875" style="156" customWidth="1"/>
    <col min="6697" max="6912" width="11.42578125" style="156"/>
    <col min="6913" max="6913" width="13.140625" style="156" customWidth="1"/>
    <col min="6914" max="6914" width="35.28515625" style="156" customWidth="1"/>
    <col min="6915" max="6915" width="12.85546875" style="156" customWidth="1"/>
    <col min="6916" max="6916" width="19.5703125" style="156" customWidth="1"/>
    <col min="6917" max="6917" width="12.28515625" style="156" customWidth="1"/>
    <col min="6918" max="6918" width="21.28515625" style="156" customWidth="1"/>
    <col min="6919" max="6919" width="11.5703125" style="156" customWidth="1"/>
    <col min="6920" max="6920" width="33.140625" style="156" customWidth="1"/>
    <col min="6921" max="6921" width="22.7109375" style="156" customWidth="1"/>
    <col min="6922" max="6922" width="10.7109375" style="156" customWidth="1"/>
    <col min="6923" max="6923" width="27.7109375" style="156" customWidth="1"/>
    <col min="6924" max="6924" width="21.42578125" style="156" customWidth="1"/>
    <col min="6925" max="6925" width="22.140625" style="156" customWidth="1"/>
    <col min="6926" max="6926" width="12.7109375" style="156" customWidth="1"/>
    <col min="6927" max="6927" width="16.42578125" style="156" customWidth="1"/>
    <col min="6928" max="6928" width="29.7109375" style="156" customWidth="1"/>
    <col min="6929" max="6929" width="29.140625" style="156" customWidth="1"/>
    <col min="6930" max="6930" width="33.5703125" style="156" customWidth="1"/>
    <col min="6931" max="6931" width="25" style="156" customWidth="1"/>
    <col min="6932" max="6932" width="11.7109375" style="156" customWidth="1"/>
    <col min="6933" max="6933" width="17.28515625" style="156" customWidth="1"/>
    <col min="6934" max="6949" width="7.28515625" style="156" customWidth="1"/>
    <col min="6950" max="6951" width="13.7109375" style="156" customWidth="1"/>
    <col min="6952" max="6952" width="20.85546875" style="156" customWidth="1"/>
    <col min="6953" max="7168" width="11.42578125" style="156"/>
    <col min="7169" max="7169" width="13.140625" style="156" customWidth="1"/>
    <col min="7170" max="7170" width="35.28515625" style="156" customWidth="1"/>
    <col min="7171" max="7171" width="12.85546875" style="156" customWidth="1"/>
    <col min="7172" max="7172" width="19.5703125" style="156" customWidth="1"/>
    <col min="7173" max="7173" width="12.28515625" style="156" customWidth="1"/>
    <col min="7174" max="7174" width="21.28515625" style="156" customWidth="1"/>
    <col min="7175" max="7175" width="11.5703125" style="156" customWidth="1"/>
    <col min="7176" max="7176" width="33.140625" style="156" customWidth="1"/>
    <col min="7177" max="7177" width="22.7109375" style="156" customWidth="1"/>
    <col min="7178" max="7178" width="10.7109375" style="156" customWidth="1"/>
    <col min="7179" max="7179" width="27.7109375" style="156" customWidth="1"/>
    <col min="7180" max="7180" width="21.42578125" style="156" customWidth="1"/>
    <col min="7181" max="7181" width="22.140625" style="156" customWidth="1"/>
    <col min="7182" max="7182" width="12.7109375" style="156" customWidth="1"/>
    <col min="7183" max="7183" width="16.42578125" style="156" customWidth="1"/>
    <col min="7184" max="7184" width="29.7109375" style="156" customWidth="1"/>
    <col min="7185" max="7185" width="29.140625" style="156" customWidth="1"/>
    <col min="7186" max="7186" width="33.5703125" style="156" customWidth="1"/>
    <col min="7187" max="7187" width="25" style="156" customWidth="1"/>
    <col min="7188" max="7188" width="11.7109375" style="156" customWidth="1"/>
    <col min="7189" max="7189" width="17.28515625" style="156" customWidth="1"/>
    <col min="7190" max="7205" width="7.28515625" style="156" customWidth="1"/>
    <col min="7206" max="7207" width="13.7109375" style="156" customWidth="1"/>
    <col min="7208" max="7208" width="20.85546875" style="156" customWidth="1"/>
    <col min="7209" max="7424" width="11.42578125" style="156"/>
    <col min="7425" max="7425" width="13.140625" style="156" customWidth="1"/>
    <col min="7426" max="7426" width="35.28515625" style="156" customWidth="1"/>
    <col min="7427" max="7427" width="12.85546875" style="156" customWidth="1"/>
    <col min="7428" max="7428" width="19.5703125" style="156" customWidth="1"/>
    <col min="7429" max="7429" width="12.28515625" style="156" customWidth="1"/>
    <col min="7430" max="7430" width="21.28515625" style="156" customWidth="1"/>
    <col min="7431" max="7431" width="11.5703125" style="156" customWidth="1"/>
    <col min="7432" max="7432" width="33.140625" style="156" customWidth="1"/>
    <col min="7433" max="7433" width="22.7109375" style="156" customWidth="1"/>
    <col min="7434" max="7434" width="10.7109375" style="156" customWidth="1"/>
    <col min="7435" max="7435" width="27.7109375" style="156" customWidth="1"/>
    <col min="7436" max="7436" width="21.42578125" style="156" customWidth="1"/>
    <col min="7437" max="7437" width="22.140625" style="156" customWidth="1"/>
    <col min="7438" max="7438" width="12.7109375" style="156" customWidth="1"/>
    <col min="7439" max="7439" width="16.42578125" style="156" customWidth="1"/>
    <col min="7440" max="7440" width="29.7109375" style="156" customWidth="1"/>
    <col min="7441" max="7441" width="29.140625" style="156" customWidth="1"/>
    <col min="7442" max="7442" width="33.5703125" style="156" customWidth="1"/>
    <col min="7443" max="7443" width="25" style="156" customWidth="1"/>
    <col min="7444" max="7444" width="11.7109375" style="156" customWidth="1"/>
    <col min="7445" max="7445" width="17.28515625" style="156" customWidth="1"/>
    <col min="7446" max="7461" width="7.28515625" style="156" customWidth="1"/>
    <col min="7462" max="7463" width="13.7109375" style="156" customWidth="1"/>
    <col min="7464" max="7464" width="20.85546875" style="156" customWidth="1"/>
    <col min="7465" max="7680" width="11.42578125" style="156"/>
    <col min="7681" max="7681" width="13.140625" style="156" customWidth="1"/>
    <col min="7682" max="7682" width="35.28515625" style="156" customWidth="1"/>
    <col min="7683" max="7683" width="12.85546875" style="156" customWidth="1"/>
    <col min="7684" max="7684" width="19.5703125" style="156" customWidth="1"/>
    <col min="7685" max="7685" width="12.28515625" style="156" customWidth="1"/>
    <col min="7686" max="7686" width="21.28515625" style="156" customWidth="1"/>
    <col min="7687" max="7687" width="11.5703125" style="156" customWidth="1"/>
    <col min="7688" max="7688" width="33.140625" style="156" customWidth="1"/>
    <col min="7689" max="7689" width="22.7109375" style="156" customWidth="1"/>
    <col min="7690" max="7690" width="10.7109375" style="156" customWidth="1"/>
    <col min="7691" max="7691" width="27.7109375" style="156" customWidth="1"/>
    <col min="7692" max="7692" width="21.42578125" style="156" customWidth="1"/>
    <col min="7693" max="7693" width="22.140625" style="156" customWidth="1"/>
    <col min="7694" max="7694" width="12.7109375" style="156" customWidth="1"/>
    <col min="7695" max="7695" width="16.42578125" style="156" customWidth="1"/>
    <col min="7696" max="7696" width="29.7109375" style="156" customWidth="1"/>
    <col min="7697" max="7697" width="29.140625" style="156" customWidth="1"/>
    <col min="7698" max="7698" width="33.5703125" style="156" customWidth="1"/>
    <col min="7699" max="7699" width="25" style="156" customWidth="1"/>
    <col min="7700" max="7700" width="11.7109375" style="156" customWidth="1"/>
    <col min="7701" max="7701" width="17.28515625" style="156" customWidth="1"/>
    <col min="7702" max="7717" width="7.28515625" style="156" customWidth="1"/>
    <col min="7718" max="7719" width="13.7109375" style="156" customWidth="1"/>
    <col min="7720" max="7720" width="20.85546875" style="156" customWidth="1"/>
    <col min="7721" max="7936" width="11.42578125" style="156"/>
    <col min="7937" max="7937" width="13.140625" style="156" customWidth="1"/>
    <col min="7938" max="7938" width="35.28515625" style="156" customWidth="1"/>
    <col min="7939" max="7939" width="12.85546875" style="156" customWidth="1"/>
    <col min="7940" max="7940" width="19.5703125" style="156" customWidth="1"/>
    <col min="7941" max="7941" width="12.28515625" style="156" customWidth="1"/>
    <col min="7942" max="7942" width="21.28515625" style="156" customWidth="1"/>
    <col min="7943" max="7943" width="11.5703125" style="156" customWidth="1"/>
    <col min="7944" max="7944" width="33.140625" style="156" customWidth="1"/>
    <col min="7945" max="7945" width="22.7109375" style="156" customWidth="1"/>
    <col min="7946" max="7946" width="10.7109375" style="156" customWidth="1"/>
    <col min="7947" max="7947" width="27.7109375" style="156" customWidth="1"/>
    <col min="7948" max="7948" width="21.42578125" style="156" customWidth="1"/>
    <col min="7949" max="7949" width="22.140625" style="156" customWidth="1"/>
    <col min="7950" max="7950" width="12.7109375" style="156" customWidth="1"/>
    <col min="7951" max="7951" width="16.42578125" style="156" customWidth="1"/>
    <col min="7952" max="7952" width="29.7109375" style="156" customWidth="1"/>
    <col min="7953" max="7953" width="29.140625" style="156" customWidth="1"/>
    <col min="7954" max="7954" width="33.5703125" style="156" customWidth="1"/>
    <col min="7955" max="7955" width="25" style="156" customWidth="1"/>
    <col min="7956" max="7956" width="11.7109375" style="156" customWidth="1"/>
    <col min="7957" max="7957" width="17.28515625" style="156" customWidth="1"/>
    <col min="7958" max="7973" width="7.28515625" style="156" customWidth="1"/>
    <col min="7974" max="7975" width="13.7109375" style="156" customWidth="1"/>
    <col min="7976" max="7976" width="20.85546875" style="156" customWidth="1"/>
    <col min="7977" max="8192" width="11.42578125" style="156"/>
    <col min="8193" max="8193" width="13.140625" style="156" customWidth="1"/>
    <col min="8194" max="8194" width="35.28515625" style="156" customWidth="1"/>
    <col min="8195" max="8195" width="12.85546875" style="156" customWidth="1"/>
    <col min="8196" max="8196" width="19.5703125" style="156" customWidth="1"/>
    <col min="8197" max="8197" width="12.28515625" style="156" customWidth="1"/>
    <col min="8198" max="8198" width="21.28515625" style="156" customWidth="1"/>
    <col min="8199" max="8199" width="11.5703125" style="156" customWidth="1"/>
    <col min="8200" max="8200" width="33.140625" style="156" customWidth="1"/>
    <col min="8201" max="8201" width="22.7109375" style="156" customWidth="1"/>
    <col min="8202" max="8202" width="10.7109375" style="156" customWidth="1"/>
    <col min="8203" max="8203" width="27.7109375" style="156" customWidth="1"/>
    <col min="8204" max="8204" width="21.42578125" style="156" customWidth="1"/>
    <col min="8205" max="8205" width="22.140625" style="156" customWidth="1"/>
    <col min="8206" max="8206" width="12.7109375" style="156" customWidth="1"/>
    <col min="8207" max="8207" width="16.42578125" style="156" customWidth="1"/>
    <col min="8208" max="8208" width="29.7109375" style="156" customWidth="1"/>
    <col min="8209" max="8209" width="29.140625" style="156" customWidth="1"/>
    <col min="8210" max="8210" width="33.5703125" style="156" customWidth="1"/>
    <col min="8211" max="8211" width="25" style="156" customWidth="1"/>
    <col min="8212" max="8212" width="11.7109375" style="156" customWidth="1"/>
    <col min="8213" max="8213" width="17.28515625" style="156" customWidth="1"/>
    <col min="8214" max="8229" width="7.28515625" style="156" customWidth="1"/>
    <col min="8230" max="8231" width="13.7109375" style="156" customWidth="1"/>
    <col min="8232" max="8232" width="20.85546875" style="156" customWidth="1"/>
    <col min="8233" max="8448" width="11.42578125" style="156"/>
    <col min="8449" max="8449" width="13.140625" style="156" customWidth="1"/>
    <col min="8450" max="8450" width="35.28515625" style="156" customWidth="1"/>
    <col min="8451" max="8451" width="12.85546875" style="156" customWidth="1"/>
    <col min="8452" max="8452" width="19.5703125" style="156" customWidth="1"/>
    <col min="8453" max="8453" width="12.28515625" style="156" customWidth="1"/>
    <col min="8454" max="8454" width="21.28515625" style="156" customWidth="1"/>
    <col min="8455" max="8455" width="11.5703125" style="156" customWidth="1"/>
    <col min="8456" max="8456" width="33.140625" style="156" customWidth="1"/>
    <col min="8457" max="8457" width="22.7109375" style="156" customWidth="1"/>
    <col min="8458" max="8458" width="10.7109375" style="156" customWidth="1"/>
    <col min="8459" max="8459" width="27.7109375" style="156" customWidth="1"/>
    <col min="8460" max="8460" width="21.42578125" style="156" customWidth="1"/>
    <col min="8461" max="8461" width="22.140625" style="156" customWidth="1"/>
    <col min="8462" max="8462" width="12.7109375" style="156" customWidth="1"/>
    <col min="8463" max="8463" width="16.42578125" style="156" customWidth="1"/>
    <col min="8464" max="8464" width="29.7109375" style="156" customWidth="1"/>
    <col min="8465" max="8465" width="29.140625" style="156" customWidth="1"/>
    <col min="8466" max="8466" width="33.5703125" style="156" customWidth="1"/>
    <col min="8467" max="8467" width="25" style="156" customWidth="1"/>
    <col min="8468" max="8468" width="11.7109375" style="156" customWidth="1"/>
    <col min="8469" max="8469" width="17.28515625" style="156" customWidth="1"/>
    <col min="8470" max="8485" width="7.28515625" style="156" customWidth="1"/>
    <col min="8486" max="8487" width="13.7109375" style="156" customWidth="1"/>
    <col min="8488" max="8488" width="20.85546875" style="156" customWidth="1"/>
    <col min="8489" max="8704" width="11.42578125" style="156"/>
    <col min="8705" max="8705" width="13.140625" style="156" customWidth="1"/>
    <col min="8706" max="8706" width="35.28515625" style="156" customWidth="1"/>
    <col min="8707" max="8707" width="12.85546875" style="156" customWidth="1"/>
    <col min="8708" max="8708" width="19.5703125" style="156" customWidth="1"/>
    <col min="8709" max="8709" width="12.28515625" style="156" customWidth="1"/>
    <col min="8710" max="8710" width="21.28515625" style="156" customWidth="1"/>
    <col min="8711" max="8711" width="11.5703125" style="156" customWidth="1"/>
    <col min="8712" max="8712" width="33.140625" style="156" customWidth="1"/>
    <col min="8713" max="8713" width="22.7109375" style="156" customWidth="1"/>
    <col min="8714" max="8714" width="10.7109375" style="156" customWidth="1"/>
    <col min="8715" max="8715" width="27.7109375" style="156" customWidth="1"/>
    <col min="8716" max="8716" width="21.42578125" style="156" customWidth="1"/>
    <col min="8717" max="8717" width="22.140625" style="156" customWidth="1"/>
    <col min="8718" max="8718" width="12.7109375" style="156" customWidth="1"/>
    <col min="8719" max="8719" width="16.42578125" style="156" customWidth="1"/>
    <col min="8720" max="8720" width="29.7109375" style="156" customWidth="1"/>
    <col min="8721" max="8721" width="29.140625" style="156" customWidth="1"/>
    <col min="8722" max="8722" width="33.5703125" style="156" customWidth="1"/>
    <col min="8723" max="8723" width="25" style="156" customWidth="1"/>
    <col min="8724" max="8724" width="11.7109375" style="156" customWidth="1"/>
    <col min="8725" max="8725" width="17.28515625" style="156" customWidth="1"/>
    <col min="8726" max="8741" width="7.28515625" style="156" customWidth="1"/>
    <col min="8742" max="8743" width="13.7109375" style="156" customWidth="1"/>
    <col min="8744" max="8744" width="20.85546875" style="156" customWidth="1"/>
    <col min="8745" max="8960" width="11.42578125" style="156"/>
    <col min="8961" max="8961" width="13.140625" style="156" customWidth="1"/>
    <col min="8962" max="8962" width="35.28515625" style="156" customWidth="1"/>
    <col min="8963" max="8963" width="12.85546875" style="156" customWidth="1"/>
    <col min="8964" max="8964" width="19.5703125" style="156" customWidth="1"/>
    <col min="8965" max="8965" width="12.28515625" style="156" customWidth="1"/>
    <col min="8966" max="8966" width="21.28515625" style="156" customWidth="1"/>
    <col min="8967" max="8967" width="11.5703125" style="156" customWidth="1"/>
    <col min="8968" max="8968" width="33.140625" style="156" customWidth="1"/>
    <col min="8969" max="8969" width="22.7109375" style="156" customWidth="1"/>
    <col min="8970" max="8970" width="10.7109375" style="156" customWidth="1"/>
    <col min="8971" max="8971" width="27.7109375" style="156" customWidth="1"/>
    <col min="8972" max="8972" width="21.42578125" style="156" customWidth="1"/>
    <col min="8973" max="8973" width="22.140625" style="156" customWidth="1"/>
    <col min="8974" max="8974" width="12.7109375" style="156" customWidth="1"/>
    <col min="8975" max="8975" width="16.42578125" style="156" customWidth="1"/>
    <col min="8976" max="8976" width="29.7109375" style="156" customWidth="1"/>
    <col min="8977" max="8977" width="29.140625" style="156" customWidth="1"/>
    <col min="8978" max="8978" width="33.5703125" style="156" customWidth="1"/>
    <col min="8979" max="8979" width="25" style="156" customWidth="1"/>
    <col min="8980" max="8980" width="11.7109375" style="156" customWidth="1"/>
    <col min="8981" max="8981" width="17.28515625" style="156" customWidth="1"/>
    <col min="8982" max="8997" width="7.28515625" style="156" customWidth="1"/>
    <col min="8998" max="8999" width="13.7109375" style="156" customWidth="1"/>
    <col min="9000" max="9000" width="20.85546875" style="156" customWidth="1"/>
    <col min="9001" max="9216" width="11.42578125" style="156"/>
    <col min="9217" max="9217" width="13.140625" style="156" customWidth="1"/>
    <col min="9218" max="9218" width="35.28515625" style="156" customWidth="1"/>
    <col min="9219" max="9219" width="12.85546875" style="156" customWidth="1"/>
    <col min="9220" max="9220" width="19.5703125" style="156" customWidth="1"/>
    <col min="9221" max="9221" width="12.28515625" style="156" customWidth="1"/>
    <col min="9222" max="9222" width="21.28515625" style="156" customWidth="1"/>
    <col min="9223" max="9223" width="11.5703125" style="156" customWidth="1"/>
    <col min="9224" max="9224" width="33.140625" style="156" customWidth="1"/>
    <col min="9225" max="9225" width="22.7109375" style="156" customWidth="1"/>
    <col min="9226" max="9226" width="10.7109375" style="156" customWidth="1"/>
    <col min="9227" max="9227" width="27.7109375" style="156" customWidth="1"/>
    <col min="9228" max="9228" width="21.42578125" style="156" customWidth="1"/>
    <col min="9229" max="9229" width="22.140625" style="156" customWidth="1"/>
    <col min="9230" max="9230" width="12.7109375" style="156" customWidth="1"/>
    <col min="9231" max="9231" width="16.42578125" style="156" customWidth="1"/>
    <col min="9232" max="9232" width="29.7109375" style="156" customWidth="1"/>
    <col min="9233" max="9233" width="29.140625" style="156" customWidth="1"/>
    <col min="9234" max="9234" width="33.5703125" style="156" customWidth="1"/>
    <col min="9235" max="9235" width="25" style="156" customWidth="1"/>
    <col min="9236" max="9236" width="11.7109375" style="156" customWidth="1"/>
    <col min="9237" max="9237" width="17.28515625" style="156" customWidth="1"/>
    <col min="9238" max="9253" width="7.28515625" style="156" customWidth="1"/>
    <col min="9254" max="9255" width="13.7109375" style="156" customWidth="1"/>
    <col min="9256" max="9256" width="20.85546875" style="156" customWidth="1"/>
    <col min="9257" max="9472" width="11.42578125" style="156"/>
    <col min="9473" max="9473" width="13.140625" style="156" customWidth="1"/>
    <col min="9474" max="9474" width="35.28515625" style="156" customWidth="1"/>
    <col min="9475" max="9475" width="12.85546875" style="156" customWidth="1"/>
    <col min="9476" max="9476" width="19.5703125" style="156" customWidth="1"/>
    <col min="9477" max="9477" width="12.28515625" style="156" customWidth="1"/>
    <col min="9478" max="9478" width="21.28515625" style="156" customWidth="1"/>
    <col min="9479" max="9479" width="11.5703125" style="156" customWidth="1"/>
    <col min="9480" max="9480" width="33.140625" style="156" customWidth="1"/>
    <col min="9481" max="9481" width="22.7109375" style="156" customWidth="1"/>
    <col min="9482" max="9482" width="10.7109375" style="156" customWidth="1"/>
    <col min="9483" max="9483" width="27.7109375" style="156" customWidth="1"/>
    <col min="9484" max="9484" width="21.42578125" style="156" customWidth="1"/>
    <col min="9485" max="9485" width="22.140625" style="156" customWidth="1"/>
    <col min="9486" max="9486" width="12.7109375" style="156" customWidth="1"/>
    <col min="9487" max="9487" width="16.42578125" style="156" customWidth="1"/>
    <col min="9488" max="9488" width="29.7109375" style="156" customWidth="1"/>
    <col min="9489" max="9489" width="29.140625" style="156" customWidth="1"/>
    <col min="9490" max="9490" width="33.5703125" style="156" customWidth="1"/>
    <col min="9491" max="9491" width="25" style="156" customWidth="1"/>
    <col min="9492" max="9492" width="11.7109375" style="156" customWidth="1"/>
    <col min="9493" max="9493" width="17.28515625" style="156" customWidth="1"/>
    <col min="9494" max="9509" width="7.28515625" style="156" customWidth="1"/>
    <col min="9510" max="9511" width="13.7109375" style="156" customWidth="1"/>
    <col min="9512" max="9512" width="20.85546875" style="156" customWidth="1"/>
    <col min="9513" max="9728" width="11.42578125" style="156"/>
    <col min="9729" max="9729" width="13.140625" style="156" customWidth="1"/>
    <col min="9730" max="9730" width="35.28515625" style="156" customWidth="1"/>
    <col min="9731" max="9731" width="12.85546875" style="156" customWidth="1"/>
    <col min="9732" max="9732" width="19.5703125" style="156" customWidth="1"/>
    <col min="9733" max="9733" width="12.28515625" style="156" customWidth="1"/>
    <col min="9734" max="9734" width="21.28515625" style="156" customWidth="1"/>
    <col min="9735" max="9735" width="11.5703125" style="156" customWidth="1"/>
    <col min="9736" max="9736" width="33.140625" style="156" customWidth="1"/>
    <col min="9737" max="9737" width="22.7109375" style="156" customWidth="1"/>
    <col min="9738" max="9738" width="10.7109375" style="156" customWidth="1"/>
    <col min="9739" max="9739" width="27.7109375" style="156" customWidth="1"/>
    <col min="9740" max="9740" width="21.42578125" style="156" customWidth="1"/>
    <col min="9741" max="9741" width="22.140625" style="156" customWidth="1"/>
    <col min="9742" max="9742" width="12.7109375" style="156" customWidth="1"/>
    <col min="9743" max="9743" width="16.42578125" style="156" customWidth="1"/>
    <col min="9744" max="9744" width="29.7109375" style="156" customWidth="1"/>
    <col min="9745" max="9745" width="29.140625" style="156" customWidth="1"/>
    <col min="9746" max="9746" width="33.5703125" style="156" customWidth="1"/>
    <col min="9747" max="9747" width="25" style="156" customWidth="1"/>
    <col min="9748" max="9748" width="11.7109375" style="156" customWidth="1"/>
    <col min="9749" max="9749" width="17.28515625" style="156" customWidth="1"/>
    <col min="9750" max="9765" width="7.28515625" style="156" customWidth="1"/>
    <col min="9766" max="9767" width="13.7109375" style="156" customWidth="1"/>
    <col min="9768" max="9768" width="20.85546875" style="156" customWidth="1"/>
    <col min="9769" max="9984" width="11.42578125" style="156"/>
    <col min="9985" max="9985" width="13.140625" style="156" customWidth="1"/>
    <col min="9986" max="9986" width="35.28515625" style="156" customWidth="1"/>
    <col min="9987" max="9987" width="12.85546875" style="156" customWidth="1"/>
    <col min="9988" max="9988" width="19.5703125" style="156" customWidth="1"/>
    <col min="9989" max="9989" width="12.28515625" style="156" customWidth="1"/>
    <col min="9990" max="9990" width="21.28515625" style="156" customWidth="1"/>
    <col min="9991" max="9991" width="11.5703125" style="156" customWidth="1"/>
    <col min="9992" max="9992" width="33.140625" style="156" customWidth="1"/>
    <col min="9993" max="9993" width="22.7109375" style="156" customWidth="1"/>
    <col min="9994" max="9994" width="10.7109375" style="156" customWidth="1"/>
    <col min="9995" max="9995" width="27.7109375" style="156" customWidth="1"/>
    <col min="9996" max="9996" width="21.42578125" style="156" customWidth="1"/>
    <col min="9997" max="9997" width="22.140625" style="156" customWidth="1"/>
    <col min="9998" max="9998" width="12.7109375" style="156" customWidth="1"/>
    <col min="9999" max="9999" width="16.42578125" style="156" customWidth="1"/>
    <col min="10000" max="10000" width="29.7109375" style="156" customWidth="1"/>
    <col min="10001" max="10001" width="29.140625" style="156" customWidth="1"/>
    <col min="10002" max="10002" width="33.5703125" style="156" customWidth="1"/>
    <col min="10003" max="10003" width="25" style="156" customWidth="1"/>
    <col min="10004" max="10004" width="11.7109375" style="156" customWidth="1"/>
    <col min="10005" max="10005" width="17.28515625" style="156" customWidth="1"/>
    <col min="10006" max="10021" width="7.28515625" style="156" customWidth="1"/>
    <col min="10022" max="10023" width="13.7109375" style="156" customWidth="1"/>
    <col min="10024" max="10024" width="20.85546875" style="156" customWidth="1"/>
    <col min="10025" max="10240" width="11.42578125" style="156"/>
    <col min="10241" max="10241" width="13.140625" style="156" customWidth="1"/>
    <col min="10242" max="10242" width="35.28515625" style="156" customWidth="1"/>
    <col min="10243" max="10243" width="12.85546875" style="156" customWidth="1"/>
    <col min="10244" max="10244" width="19.5703125" style="156" customWidth="1"/>
    <col min="10245" max="10245" width="12.28515625" style="156" customWidth="1"/>
    <col min="10246" max="10246" width="21.28515625" style="156" customWidth="1"/>
    <col min="10247" max="10247" width="11.5703125" style="156" customWidth="1"/>
    <col min="10248" max="10248" width="33.140625" style="156" customWidth="1"/>
    <col min="10249" max="10249" width="22.7109375" style="156" customWidth="1"/>
    <col min="10250" max="10250" width="10.7109375" style="156" customWidth="1"/>
    <col min="10251" max="10251" width="27.7109375" style="156" customWidth="1"/>
    <col min="10252" max="10252" width="21.42578125" style="156" customWidth="1"/>
    <col min="10253" max="10253" width="22.140625" style="156" customWidth="1"/>
    <col min="10254" max="10254" width="12.7109375" style="156" customWidth="1"/>
    <col min="10255" max="10255" width="16.42578125" style="156" customWidth="1"/>
    <col min="10256" max="10256" width="29.7109375" style="156" customWidth="1"/>
    <col min="10257" max="10257" width="29.140625" style="156" customWidth="1"/>
    <col min="10258" max="10258" width="33.5703125" style="156" customWidth="1"/>
    <col min="10259" max="10259" width="25" style="156" customWidth="1"/>
    <col min="10260" max="10260" width="11.7109375" style="156" customWidth="1"/>
    <col min="10261" max="10261" width="17.28515625" style="156" customWidth="1"/>
    <col min="10262" max="10277" width="7.28515625" style="156" customWidth="1"/>
    <col min="10278" max="10279" width="13.7109375" style="156" customWidth="1"/>
    <col min="10280" max="10280" width="20.85546875" style="156" customWidth="1"/>
    <col min="10281" max="10496" width="11.42578125" style="156"/>
    <col min="10497" max="10497" width="13.140625" style="156" customWidth="1"/>
    <col min="10498" max="10498" width="35.28515625" style="156" customWidth="1"/>
    <col min="10499" max="10499" width="12.85546875" style="156" customWidth="1"/>
    <col min="10500" max="10500" width="19.5703125" style="156" customWidth="1"/>
    <col min="10501" max="10501" width="12.28515625" style="156" customWidth="1"/>
    <col min="10502" max="10502" width="21.28515625" style="156" customWidth="1"/>
    <col min="10503" max="10503" width="11.5703125" style="156" customWidth="1"/>
    <col min="10504" max="10504" width="33.140625" style="156" customWidth="1"/>
    <col min="10505" max="10505" width="22.7109375" style="156" customWidth="1"/>
    <col min="10506" max="10506" width="10.7109375" style="156" customWidth="1"/>
    <col min="10507" max="10507" width="27.7109375" style="156" customWidth="1"/>
    <col min="10508" max="10508" width="21.42578125" style="156" customWidth="1"/>
    <col min="10509" max="10509" width="22.140625" style="156" customWidth="1"/>
    <col min="10510" max="10510" width="12.7109375" style="156" customWidth="1"/>
    <col min="10511" max="10511" width="16.42578125" style="156" customWidth="1"/>
    <col min="10512" max="10512" width="29.7109375" style="156" customWidth="1"/>
    <col min="10513" max="10513" width="29.140625" style="156" customWidth="1"/>
    <col min="10514" max="10514" width="33.5703125" style="156" customWidth="1"/>
    <col min="10515" max="10515" width="25" style="156" customWidth="1"/>
    <col min="10516" max="10516" width="11.7109375" style="156" customWidth="1"/>
    <col min="10517" max="10517" width="17.28515625" style="156" customWidth="1"/>
    <col min="10518" max="10533" width="7.28515625" style="156" customWidth="1"/>
    <col min="10534" max="10535" width="13.7109375" style="156" customWidth="1"/>
    <col min="10536" max="10536" width="20.85546875" style="156" customWidth="1"/>
    <col min="10537" max="10752" width="11.42578125" style="156"/>
    <col min="10753" max="10753" width="13.140625" style="156" customWidth="1"/>
    <col min="10754" max="10754" width="35.28515625" style="156" customWidth="1"/>
    <col min="10755" max="10755" width="12.85546875" style="156" customWidth="1"/>
    <col min="10756" max="10756" width="19.5703125" style="156" customWidth="1"/>
    <col min="10757" max="10757" width="12.28515625" style="156" customWidth="1"/>
    <col min="10758" max="10758" width="21.28515625" style="156" customWidth="1"/>
    <col min="10759" max="10759" width="11.5703125" style="156" customWidth="1"/>
    <col min="10760" max="10760" width="33.140625" style="156" customWidth="1"/>
    <col min="10761" max="10761" width="22.7109375" style="156" customWidth="1"/>
    <col min="10762" max="10762" width="10.7109375" style="156" customWidth="1"/>
    <col min="10763" max="10763" width="27.7109375" style="156" customWidth="1"/>
    <col min="10764" max="10764" width="21.42578125" style="156" customWidth="1"/>
    <col min="10765" max="10765" width="22.140625" style="156" customWidth="1"/>
    <col min="10766" max="10766" width="12.7109375" style="156" customWidth="1"/>
    <col min="10767" max="10767" width="16.42578125" style="156" customWidth="1"/>
    <col min="10768" max="10768" width="29.7109375" style="156" customWidth="1"/>
    <col min="10769" max="10769" width="29.140625" style="156" customWidth="1"/>
    <col min="10770" max="10770" width="33.5703125" style="156" customWidth="1"/>
    <col min="10771" max="10771" width="25" style="156" customWidth="1"/>
    <col min="10772" max="10772" width="11.7109375" style="156" customWidth="1"/>
    <col min="10773" max="10773" width="17.28515625" style="156" customWidth="1"/>
    <col min="10774" max="10789" width="7.28515625" style="156" customWidth="1"/>
    <col min="10790" max="10791" width="13.7109375" style="156" customWidth="1"/>
    <col min="10792" max="10792" width="20.85546875" style="156" customWidth="1"/>
    <col min="10793" max="11008" width="11.42578125" style="156"/>
    <col min="11009" max="11009" width="13.140625" style="156" customWidth="1"/>
    <col min="11010" max="11010" width="35.28515625" style="156" customWidth="1"/>
    <col min="11011" max="11011" width="12.85546875" style="156" customWidth="1"/>
    <col min="11012" max="11012" width="19.5703125" style="156" customWidth="1"/>
    <col min="11013" max="11013" width="12.28515625" style="156" customWidth="1"/>
    <col min="11014" max="11014" width="21.28515625" style="156" customWidth="1"/>
    <col min="11015" max="11015" width="11.5703125" style="156" customWidth="1"/>
    <col min="11016" max="11016" width="33.140625" style="156" customWidth="1"/>
    <col min="11017" max="11017" width="22.7109375" style="156" customWidth="1"/>
    <col min="11018" max="11018" width="10.7109375" style="156" customWidth="1"/>
    <col min="11019" max="11019" width="27.7109375" style="156" customWidth="1"/>
    <col min="11020" max="11020" width="21.42578125" style="156" customWidth="1"/>
    <col min="11021" max="11021" width="22.140625" style="156" customWidth="1"/>
    <col min="11022" max="11022" width="12.7109375" style="156" customWidth="1"/>
    <col min="11023" max="11023" width="16.42578125" style="156" customWidth="1"/>
    <col min="11024" max="11024" width="29.7109375" style="156" customWidth="1"/>
    <col min="11025" max="11025" width="29.140625" style="156" customWidth="1"/>
    <col min="11026" max="11026" width="33.5703125" style="156" customWidth="1"/>
    <col min="11027" max="11027" width="25" style="156" customWidth="1"/>
    <col min="11028" max="11028" width="11.7109375" style="156" customWidth="1"/>
    <col min="11029" max="11029" width="17.28515625" style="156" customWidth="1"/>
    <col min="11030" max="11045" width="7.28515625" style="156" customWidth="1"/>
    <col min="11046" max="11047" width="13.7109375" style="156" customWidth="1"/>
    <col min="11048" max="11048" width="20.85546875" style="156" customWidth="1"/>
    <col min="11049" max="11264" width="11.42578125" style="156"/>
    <col min="11265" max="11265" width="13.140625" style="156" customWidth="1"/>
    <col min="11266" max="11266" width="35.28515625" style="156" customWidth="1"/>
    <col min="11267" max="11267" width="12.85546875" style="156" customWidth="1"/>
    <col min="11268" max="11268" width="19.5703125" style="156" customWidth="1"/>
    <col min="11269" max="11269" width="12.28515625" style="156" customWidth="1"/>
    <col min="11270" max="11270" width="21.28515625" style="156" customWidth="1"/>
    <col min="11271" max="11271" width="11.5703125" style="156" customWidth="1"/>
    <col min="11272" max="11272" width="33.140625" style="156" customWidth="1"/>
    <col min="11273" max="11273" width="22.7109375" style="156" customWidth="1"/>
    <col min="11274" max="11274" width="10.7109375" style="156" customWidth="1"/>
    <col min="11275" max="11275" width="27.7109375" style="156" customWidth="1"/>
    <col min="11276" max="11276" width="21.42578125" style="156" customWidth="1"/>
    <col min="11277" max="11277" width="22.140625" style="156" customWidth="1"/>
    <col min="11278" max="11278" width="12.7109375" style="156" customWidth="1"/>
    <col min="11279" max="11279" width="16.42578125" style="156" customWidth="1"/>
    <col min="11280" max="11280" width="29.7109375" style="156" customWidth="1"/>
    <col min="11281" max="11281" width="29.140625" style="156" customWidth="1"/>
    <col min="11282" max="11282" width="33.5703125" style="156" customWidth="1"/>
    <col min="11283" max="11283" width="25" style="156" customWidth="1"/>
    <col min="11284" max="11284" width="11.7109375" style="156" customWidth="1"/>
    <col min="11285" max="11285" width="17.28515625" style="156" customWidth="1"/>
    <col min="11286" max="11301" width="7.28515625" style="156" customWidth="1"/>
    <col min="11302" max="11303" width="13.7109375" style="156" customWidth="1"/>
    <col min="11304" max="11304" width="20.85546875" style="156" customWidth="1"/>
    <col min="11305" max="11520" width="11.42578125" style="156"/>
    <col min="11521" max="11521" width="13.140625" style="156" customWidth="1"/>
    <col min="11522" max="11522" width="35.28515625" style="156" customWidth="1"/>
    <col min="11523" max="11523" width="12.85546875" style="156" customWidth="1"/>
    <col min="11524" max="11524" width="19.5703125" style="156" customWidth="1"/>
    <col min="11525" max="11525" width="12.28515625" style="156" customWidth="1"/>
    <col min="11526" max="11526" width="21.28515625" style="156" customWidth="1"/>
    <col min="11527" max="11527" width="11.5703125" style="156" customWidth="1"/>
    <col min="11528" max="11528" width="33.140625" style="156" customWidth="1"/>
    <col min="11529" max="11529" width="22.7109375" style="156" customWidth="1"/>
    <col min="11530" max="11530" width="10.7109375" style="156" customWidth="1"/>
    <col min="11531" max="11531" width="27.7109375" style="156" customWidth="1"/>
    <col min="11532" max="11532" width="21.42578125" style="156" customWidth="1"/>
    <col min="11533" max="11533" width="22.140625" style="156" customWidth="1"/>
    <col min="11534" max="11534" width="12.7109375" style="156" customWidth="1"/>
    <col min="11535" max="11535" width="16.42578125" style="156" customWidth="1"/>
    <col min="11536" max="11536" width="29.7109375" style="156" customWidth="1"/>
    <col min="11537" max="11537" width="29.140625" style="156" customWidth="1"/>
    <col min="11538" max="11538" width="33.5703125" style="156" customWidth="1"/>
    <col min="11539" max="11539" width="25" style="156" customWidth="1"/>
    <col min="11540" max="11540" width="11.7109375" style="156" customWidth="1"/>
    <col min="11541" max="11541" width="17.28515625" style="156" customWidth="1"/>
    <col min="11542" max="11557" width="7.28515625" style="156" customWidth="1"/>
    <col min="11558" max="11559" width="13.7109375" style="156" customWidth="1"/>
    <col min="11560" max="11560" width="20.85546875" style="156" customWidth="1"/>
    <col min="11561" max="11776" width="11.42578125" style="156"/>
    <col min="11777" max="11777" width="13.140625" style="156" customWidth="1"/>
    <col min="11778" max="11778" width="35.28515625" style="156" customWidth="1"/>
    <col min="11779" max="11779" width="12.85546875" style="156" customWidth="1"/>
    <col min="11780" max="11780" width="19.5703125" style="156" customWidth="1"/>
    <col min="11781" max="11781" width="12.28515625" style="156" customWidth="1"/>
    <col min="11782" max="11782" width="21.28515625" style="156" customWidth="1"/>
    <col min="11783" max="11783" width="11.5703125" style="156" customWidth="1"/>
    <col min="11784" max="11784" width="33.140625" style="156" customWidth="1"/>
    <col min="11785" max="11785" width="22.7109375" style="156" customWidth="1"/>
    <col min="11786" max="11786" width="10.7109375" style="156" customWidth="1"/>
    <col min="11787" max="11787" width="27.7109375" style="156" customWidth="1"/>
    <col min="11788" max="11788" width="21.42578125" style="156" customWidth="1"/>
    <col min="11789" max="11789" width="22.140625" style="156" customWidth="1"/>
    <col min="11790" max="11790" width="12.7109375" style="156" customWidth="1"/>
    <col min="11791" max="11791" width="16.42578125" style="156" customWidth="1"/>
    <col min="11792" max="11792" width="29.7109375" style="156" customWidth="1"/>
    <col min="11793" max="11793" width="29.140625" style="156" customWidth="1"/>
    <col min="11794" max="11794" width="33.5703125" style="156" customWidth="1"/>
    <col min="11795" max="11795" width="25" style="156" customWidth="1"/>
    <col min="11796" max="11796" width="11.7109375" style="156" customWidth="1"/>
    <col min="11797" max="11797" width="17.28515625" style="156" customWidth="1"/>
    <col min="11798" max="11813" width="7.28515625" style="156" customWidth="1"/>
    <col min="11814" max="11815" width="13.7109375" style="156" customWidth="1"/>
    <col min="11816" max="11816" width="20.85546875" style="156" customWidth="1"/>
    <col min="11817" max="12032" width="11.42578125" style="156"/>
    <col min="12033" max="12033" width="13.140625" style="156" customWidth="1"/>
    <col min="12034" max="12034" width="35.28515625" style="156" customWidth="1"/>
    <col min="12035" max="12035" width="12.85546875" style="156" customWidth="1"/>
    <col min="12036" max="12036" width="19.5703125" style="156" customWidth="1"/>
    <col min="12037" max="12037" width="12.28515625" style="156" customWidth="1"/>
    <col min="12038" max="12038" width="21.28515625" style="156" customWidth="1"/>
    <col min="12039" max="12039" width="11.5703125" style="156" customWidth="1"/>
    <col min="12040" max="12040" width="33.140625" style="156" customWidth="1"/>
    <col min="12041" max="12041" width="22.7109375" style="156" customWidth="1"/>
    <col min="12042" max="12042" width="10.7109375" style="156" customWidth="1"/>
    <col min="12043" max="12043" width="27.7109375" style="156" customWidth="1"/>
    <col min="12044" max="12044" width="21.42578125" style="156" customWidth="1"/>
    <col min="12045" max="12045" width="22.140625" style="156" customWidth="1"/>
    <col min="12046" max="12046" width="12.7109375" style="156" customWidth="1"/>
    <col min="12047" max="12047" width="16.42578125" style="156" customWidth="1"/>
    <col min="12048" max="12048" width="29.7109375" style="156" customWidth="1"/>
    <col min="12049" max="12049" width="29.140625" style="156" customWidth="1"/>
    <col min="12050" max="12050" width="33.5703125" style="156" customWidth="1"/>
    <col min="12051" max="12051" width="25" style="156" customWidth="1"/>
    <col min="12052" max="12052" width="11.7109375" style="156" customWidth="1"/>
    <col min="12053" max="12053" width="17.28515625" style="156" customWidth="1"/>
    <col min="12054" max="12069" width="7.28515625" style="156" customWidth="1"/>
    <col min="12070" max="12071" width="13.7109375" style="156" customWidth="1"/>
    <col min="12072" max="12072" width="20.85546875" style="156" customWidth="1"/>
    <col min="12073" max="12288" width="11.42578125" style="156"/>
    <col min="12289" max="12289" width="13.140625" style="156" customWidth="1"/>
    <col min="12290" max="12290" width="35.28515625" style="156" customWidth="1"/>
    <col min="12291" max="12291" width="12.85546875" style="156" customWidth="1"/>
    <col min="12292" max="12292" width="19.5703125" style="156" customWidth="1"/>
    <col min="12293" max="12293" width="12.28515625" style="156" customWidth="1"/>
    <col min="12294" max="12294" width="21.28515625" style="156" customWidth="1"/>
    <col min="12295" max="12295" width="11.5703125" style="156" customWidth="1"/>
    <col min="12296" max="12296" width="33.140625" style="156" customWidth="1"/>
    <col min="12297" max="12297" width="22.7109375" style="156" customWidth="1"/>
    <col min="12298" max="12298" width="10.7109375" style="156" customWidth="1"/>
    <col min="12299" max="12299" width="27.7109375" style="156" customWidth="1"/>
    <col min="12300" max="12300" width="21.42578125" style="156" customWidth="1"/>
    <col min="12301" max="12301" width="22.140625" style="156" customWidth="1"/>
    <col min="12302" max="12302" width="12.7109375" style="156" customWidth="1"/>
    <col min="12303" max="12303" width="16.42578125" style="156" customWidth="1"/>
    <col min="12304" max="12304" width="29.7109375" style="156" customWidth="1"/>
    <col min="12305" max="12305" width="29.140625" style="156" customWidth="1"/>
    <col min="12306" max="12306" width="33.5703125" style="156" customWidth="1"/>
    <col min="12307" max="12307" width="25" style="156" customWidth="1"/>
    <col min="12308" max="12308" width="11.7109375" style="156" customWidth="1"/>
    <col min="12309" max="12309" width="17.28515625" style="156" customWidth="1"/>
    <col min="12310" max="12325" width="7.28515625" style="156" customWidth="1"/>
    <col min="12326" max="12327" width="13.7109375" style="156" customWidth="1"/>
    <col min="12328" max="12328" width="20.85546875" style="156" customWidth="1"/>
    <col min="12329" max="12544" width="11.42578125" style="156"/>
    <col min="12545" max="12545" width="13.140625" style="156" customWidth="1"/>
    <col min="12546" max="12546" width="35.28515625" style="156" customWidth="1"/>
    <col min="12547" max="12547" width="12.85546875" style="156" customWidth="1"/>
    <col min="12548" max="12548" width="19.5703125" style="156" customWidth="1"/>
    <col min="12549" max="12549" width="12.28515625" style="156" customWidth="1"/>
    <col min="12550" max="12550" width="21.28515625" style="156" customWidth="1"/>
    <col min="12551" max="12551" width="11.5703125" style="156" customWidth="1"/>
    <col min="12552" max="12552" width="33.140625" style="156" customWidth="1"/>
    <col min="12553" max="12553" width="22.7109375" style="156" customWidth="1"/>
    <col min="12554" max="12554" width="10.7109375" style="156" customWidth="1"/>
    <col min="12555" max="12555" width="27.7109375" style="156" customWidth="1"/>
    <col min="12556" max="12556" width="21.42578125" style="156" customWidth="1"/>
    <col min="12557" max="12557" width="22.140625" style="156" customWidth="1"/>
    <col min="12558" max="12558" width="12.7109375" style="156" customWidth="1"/>
    <col min="12559" max="12559" width="16.42578125" style="156" customWidth="1"/>
    <col min="12560" max="12560" width="29.7109375" style="156" customWidth="1"/>
    <col min="12561" max="12561" width="29.140625" style="156" customWidth="1"/>
    <col min="12562" max="12562" width="33.5703125" style="156" customWidth="1"/>
    <col min="12563" max="12563" width="25" style="156" customWidth="1"/>
    <col min="12564" max="12564" width="11.7109375" style="156" customWidth="1"/>
    <col min="12565" max="12565" width="17.28515625" style="156" customWidth="1"/>
    <col min="12566" max="12581" width="7.28515625" style="156" customWidth="1"/>
    <col min="12582" max="12583" width="13.7109375" style="156" customWidth="1"/>
    <col min="12584" max="12584" width="20.85546875" style="156" customWidth="1"/>
    <col min="12585" max="12800" width="11.42578125" style="156"/>
    <col min="12801" max="12801" width="13.140625" style="156" customWidth="1"/>
    <col min="12802" max="12802" width="35.28515625" style="156" customWidth="1"/>
    <col min="12803" max="12803" width="12.85546875" style="156" customWidth="1"/>
    <col min="12804" max="12804" width="19.5703125" style="156" customWidth="1"/>
    <col min="12805" max="12805" width="12.28515625" style="156" customWidth="1"/>
    <col min="12806" max="12806" width="21.28515625" style="156" customWidth="1"/>
    <col min="12807" max="12807" width="11.5703125" style="156" customWidth="1"/>
    <col min="12808" max="12808" width="33.140625" style="156" customWidth="1"/>
    <col min="12809" max="12809" width="22.7109375" style="156" customWidth="1"/>
    <col min="12810" max="12810" width="10.7109375" style="156" customWidth="1"/>
    <col min="12811" max="12811" width="27.7109375" style="156" customWidth="1"/>
    <col min="12812" max="12812" width="21.42578125" style="156" customWidth="1"/>
    <col min="12813" max="12813" width="22.140625" style="156" customWidth="1"/>
    <col min="12814" max="12814" width="12.7109375" style="156" customWidth="1"/>
    <col min="12815" max="12815" width="16.42578125" style="156" customWidth="1"/>
    <col min="12816" max="12816" width="29.7109375" style="156" customWidth="1"/>
    <col min="12817" max="12817" width="29.140625" style="156" customWidth="1"/>
    <col min="12818" max="12818" width="33.5703125" style="156" customWidth="1"/>
    <col min="12819" max="12819" width="25" style="156" customWidth="1"/>
    <col min="12820" max="12820" width="11.7109375" style="156" customWidth="1"/>
    <col min="12821" max="12821" width="17.28515625" style="156" customWidth="1"/>
    <col min="12822" max="12837" width="7.28515625" style="156" customWidth="1"/>
    <col min="12838" max="12839" width="13.7109375" style="156" customWidth="1"/>
    <col min="12840" max="12840" width="20.85546875" style="156" customWidth="1"/>
    <col min="12841" max="13056" width="11.42578125" style="156"/>
    <col min="13057" max="13057" width="13.140625" style="156" customWidth="1"/>
    <col min="13058" max="13058" width="35.28515625" style="156" customWidth="1"/>
    <col min="13059" max="13059" width="12.85546875" style="156" customWidth="1"/>
    <col min="13060" max="13060" width="19.5703125" style="156" customWidth="1"/>
    <col min="13061" max="13061" width="12.28515625" style="156" customWidth="1"/>
    <col min="13062" max="13062" width="21.28515625" style="156" customWidth="1"/>
    <col min="13063" max="13063" width="11.5703125" style="156" customWidth="1"/>
    <col min="13064" max="13064" width="33.140625" style="156" customWidth="1"/>
    <col min="13065" max="13065" width="22.7109375" style="156" customWidth="1"/>
    <col min="13066" max="13066" width="10.7109375" style="156" customWidth="1"/>
    <col min="13067" max="13067" width="27.7109375" style="156" customWidth="1"/>
    <col min="13068" max="13068" width="21.42578125" style="156" customWidth="1"/>
    <col min="13069" max="13069" width="22.140625" style="156" customWidth="1"/>
    <col min="13070" max="13070" width="12.7109375" style="156" customWidth="1"/>
    <col min="13071" max="13071" width="16.42578125" style="156" customWidth="1"/>
    <col min="13072" max="13072" width="29.7109375" style="156" customWidth="1"/>
    <col min="13073" max="13073" width="29.140625" style="156" customWidth="1"/>
    <col min="13074" max="13074" width="33.5703125" style="156" customWidth="1"/>
    <col min="13075" max="13075" width="25" style="156" customWidth="1"/>
    <col min="13076" max="13076" width="11.7109375" style="156" customWidth="1"/>
    <col min="13077" max="13077" width="17.28515625" style="156" customWidth="1"/>
    <col min="13078" max="13093" width="7.28515625" style="156" customWidth="1"/>
    <col min="13094" max="13095" width="13.7109375" style="156" customWidth="1"/>
    <col min="13096" max="13096" width="20.85546875" style="156" customWidth="1"/>
    <col min="13097" max="13312" width="11.42578125" style="156"/>
    <col min="13313" max="13313" width="13.140625" style="156" customWidth="1"/>
    <col min="13314" max="13314" width="35.28515625" style="156" customWidth="1"/>
    <col min="13315" max="13315" width="12.85546875" style="156" customWidth="1"/>
    <col min="13316" max="13316" width="19.5703125" style="156" customWidth="1"/>
    <col min="13317" max="13317" width="12.28515625" style="156" customWidth="1"/>
    <col min="13318" max="13318" width="21.28515625" style="156" customWidth="1"/>
    <col min="13319" max="13319" width="11.5703125" style="156" customWidth="1"/>
    <col min="13320" max="13320" width="33.140625" style="156" customWidth="1"/>
    <col min="13321" max="13321" width="22.7109375" style="156" customWidth="1"/>
    <col min="13322" max="13322" width="10.7109375" style="156" customWidth="1"/>
    <col min="13323" max="13323" width="27.7109375" style="156" customWidth="1"/>
    <col min="13324" max="13324" width="21.42578125" style="156" customWidth="1"/>
    <col min="13325" max="13325" width="22.140625" style="156" customWidth="1"/>
    <col min="13326" max="13326" width="12.7109375" style="156" customWidth="1"/>
    <col min="13327" max="13327" width="16.42578125" style="156" customWidth="1"/>
    <col min="13328" max="13328" width="29.7109375" style="156" customWidth="1"/>
    <col min="13329" max="13329" width="29.140625" style="156" customWidth="1"/>
    <col min="13330" max="13330" width="33.5703125" style="156" customWidth="1"/>
    <col min="13331" max="13331" width="25" style="156" customWidth="1"/>
    <col min="13332" max="13332" width="11.7109375" style="156" customWidth="1"/>
    <col min="13333" max="13333" width="17.28515625" style="156" customWidth="1"/>
    <col min="13334" max="13349" width="7.28515625" style="156" customWidth="1"/>
    <col min="13350" max="13351" width="13.7109375" style="156" customWidth="1"/>
    <col min="13352" max="13352" width="20.85546875" style="156" customWidth="1"/>
    <col min="13353" max="13568" width="11.42578125" style="156"/>
    <col min="13569" max="13569" width="13.140625" style="156" customWidth="1"/>
    <col min="13570" max="13570" width="35.28515625" style="156" customWidth="1"/>
    <col min="13571" max="13571" width="12.85546875" style="156" customWidth="1"/>
    <col min="13572" max="13572" width="19.5703125" style="156" customWidth="1"/>
    <col min="13573" max="13573" width="12.28515625" style="156" customWidth="1"/>
    <col min="13574" max="13574" width="21.28515625" style="156" customWidth="1"/>
    <col min="13575" max="13575" width="11.5703125" style="156" customWidth="1"/>
    <col min="13576" max="13576" width="33.140625" style="156" customWidth="1"/>
    <col min="13577" max="13577" width="22.7109375" style="156" customWidth="1"/>
    <col min="13578" max="13578" width="10.7109375" style="156" customWidth="1"/>
    <col min="13579" max="13579" width="27.7109375" style="156" customWidth="1"/>
    <col min="13580" max="13580" width="21.42578125" style="156" customWidth="1"/>
    <col min="13581" max="13581" width="22.140625" style="156" customWidth="1"/>
    <col min="13582" max="13582" width="12.7109375" style="156" customWidth="1"/>
    <col min="13583" max="13583" width="16.42578125" style="156" customWidth="1"/>
    <col min="13584" max="13584" width="29.7109375" style="156" customWidth="1"/>
    <col min="13585" max="13585" width="29.140625" style="156" customWidth="1"/>
    <col min="13586" max="13586" width="33.5703125" style="156" customWidth="1"/>
    <col min="13587" max="13587" width="25" style="156" customWidth="1"/>
    <col min="13588" max="13588" width="11.7109375" style="156" customWidth="1"/>
    <col min="13589" max="13589" width="17.28515625" style="156" customWidth="1"/>
    <col min="13590" max="13605" width="7.28515625" style="156" customWidth="1"/>
    <col min="13606" max="13607" width="13.7109375" style="156" customWidth="1"/>
    <col min="13608" max="13608" width="20.85546875" style="156" customWidth="1"/>
    <col min="13609" max="13824" width="11.42578125" style="156"/>
    <col min="13825" max="13825" width="13.140625" style="156" customWidth="1"/>
    <col min="13826" max="13826" width="35.28515625" style="156" customWidth="1"/>
    <col min="13827" max="13827" width="12.85546875" style="156" customWidth="1"/>
    <col min="13828" max="13828" width="19.5703125" style="156" customWidth="1"/>
    <col min="13829" max="13829" width="12.28515625" style="156" customWidth="1"/>
    <col min="13830" max="13830" width="21.28515625" style="156" customWidth="1"/>
    <col min="13831" max="13831" width="11.5703125" style="156" customWidth="1"/>
    <col min="13832" max="13832" width="33.140625" style="156" customWidth="1"/>
    <col min="13833" max="13833" width="22.7109375" style="156" customWidth="1"/>
    <col min="13834" max="13834" width="10.7109375" style="156" customWidth="1"/>
    <col min="13835" max="13835" width="27.7109375" style="156" customWidth="1"/>
    <col min="13836" max="13836" width="21.42578125" style="156" customWidth="1"/>
    <col min="13837" max="13837" width="22.140625" style="156" customWidth="1"/>
    <col min="13838" max="13838" width="12.7109375" style="156" customWidth="1"/>
    <col min="13839" max="13839" width="16.42578125" style="156" customWidth="1"/>
    <col min="13840" max="13840" width="29.7109375" style="156" customWidth="1"/>
    <col min="13841" max="13841" width="29.140625" style="156" customWidth="1"/>
    <col min="13842" max="13842" width="33.5703125" style="156" customWidth="1"/>
    <col min="13843" max="13843" width="25" style="156" customWidth="1"/>
    <col min="13844" max="13844" width="11.7109375" style="156" customWidth="1"/>
    <col min="13845" max="13845" width="17.28515625" style="156" customWidth="1"/>
    <col min="13846" max="13861" width="7.28515625" style="156" customWidth="1"/>
    <col min="13862" max="13863" width="13.7109375" style="156" customWidth="1"/>
    <col min="13864" max="13864" width="20.85546875" style="156" customWidth="1"/>
    <col min="13865" max="14080" width="11.42578125" style="156"/>
    <col min="14081" max="14081" width="13.140625" style="156" customWidth="1"/>
    <col min="14082" max="14082" width="35.28515625" style="156" customWidth="1"/>
    <col min="14083" max="14083" width="12.85546875" style="156" customWidth="1"/>
    <col min="14084" max="14084" width="19.5703125" style="156" customWidth="1"/>
    <col min="14085" max="14085" width="12.28515625" style="156" customWidth="1"/>
    <col min="14086" max="14086" width="21.28515625" style="156" customWidth="1"/>
    <col min="14087" max="14087" width="11.5703125" style="156" customWidth="1"/>
    <col min="14088" max="14088" width="33.140625" style="156" customWidth="1"/>
    <col min="14089" max="14089" width="22.7109375" style="156" customWidth="1"/>
    <col min="14090" max="14090" width="10.7109375" style="156" customWidth="1"/>
    <col min="14091" max="14091" width="27.7109375" style="156" customWidth="1"/>
    <col min="14092" max="14092" width="21.42578125" style="156" customWidth="1"/>
    <col min="14093" max="14093" width="22.140625" style="156" customWidth="1"/>
    <col min="14094" max="14094" width="12.7109375" style="156" customWidth="1"/>
    <col min="14095" max="14095" width="16.42578125" style="156" customWidth="1"/>
    <col min="14096" max="14096" width="29.7109375" style="156" customWidth="1"/>
    <col min="14097" max="14097" width="29.140625" style="156" customWidth="1"/>
    <col min="14098" max="14098" width="33.5703125" style="156" customWidth="1"/>
    <col min="14099" max="14099" width="25" style="156" customWidth="1"/>
    <col min="14100" max="14100" width="11.7109375" style="156" customWidth="1"/>
    <col min="14101" max="14101" width="17.28515625" style="156" customWidth="1"/>
    <col min="14102" max="14117" width="7.28515625" style="156" customWidth="1"/>
    <col min="14118" max="14119" width="13.7109375" style="156" customWidth="1"/>
    <col min="14120" max="14120" width="20.85546875" style="156" customWidth="1"/>
    <col min="14121" max="14336" width="11.42578125" style="156"/>
    <col min="14337" max="14337" width="13.140625" style="156" customWidth="1"/>
    <col min="14338" max="14338" width="35.28515625" style="156" customWidth="1"/>
    <col min="14339" max="14339" width="12.85546875" style="156" customWidth="1"/>
    <col min="14340" max="14340" width="19.5703125" style="156" customWidth="1"/>
    <col min="14341" max="14341" width="12.28515625" style="156" customWidth="1"/>
    <col min="14342" max="14342" width="21.28515625" style="156" customWidth="1"/>
    <col min="14343" max="14343" width="11.5703125" style="156" customWidth="1"/>
    <col min="14344" max="14344" width="33.140625" style="156" customWidth="1"/>
    <col min="14345" max="14345" width="22.7109375" style="156" customWidth="1"/>
    <col min="14346" max="14346" width="10.7109375" style="156" customWidth="1"/>
    <col min="14347" max="14347" width="27.7109375" style="156" customWidth="1"/>
    <col min="14348" max="14348" width="21.42578125" style="156" customWidth="1"/>
    <col min="14349" max="14349" width="22.140625" style="156" customWidth="1"/>
    <col min="14350" max="14350" width="12.7109375" style="156" customWidth="1"/>
    <col min="14351" max="14351" width="16.42578125" style="156" customWidth="1"/>
    <col min="14352" max="14352" width="29.7109375" style="156" customWidth="1"/>
    <col min="14353" max="14353" width="29.140625" style="156" customWidth="1"/>
    <col min="14354" max="14354" width="33.5703125" style="156" customWidth="1"/>
    <col min="14355" max="14355" width="25" style="156" customWidth="1"/>
    <col min="14356" max="14356" width="11.7109375" style="156" customWidth="1"/>
    <col min="14357" max="14357" width="17.28515625" style="156" customWidth="1"/>
    <col min="14358" max="14373" width="7.28515625" style="156" customWidth="1"/>
    <col min="14374" max="14375" width="13.7109375" style="156" customWidth="1"/>
    <col min="14376" max="14376" width="20.85546875" style="156" customWidth="1"/>
    <col min="14377" max="14592" width="11.42578125" style="156"/>
    <col min="14593" max="14593" width="13.140625" style="156" customWidth="1"/>
    <col min="14594" max="14594" width="35.28515625" style="156" customWidth="1"/>
    <col min="14595" max="14595" width="12.85546875" style="156" customWidth="1"/>
    <col min="14596" max="14596" width="19.5703125" style="156" customWidth="1"/>
    <col min="14597" max="14597" width="12.28515625" style="156" customWidth="1"/>
    <col min="14598" max="14598" width="21.28515625" style="156" customWidth="1"/>
    <col min="14599" max="14599" width="11.5703125" style="156" customWidth="1"/>
    <col min="14600" max="14600" width="33.140625" style="156" customWidth="1"/>
    <col min="14601" max="14601" width="22.7109375" style="156" customWidth="1"/>
    <col min="14602" max="14602" width="10.7109375" style="156" customWidth="1"/>
    <col min="14603" max="14603" width="27.7109375" style="156" customWidth="1"/>
    <col min="14604" max="14604" width="21.42578125" style="156" customWidth="1"/>
    <col min="14605" max="14605" width="22.140625" style="156" customWidth="1"/>
    <col min="14606" max="14606" width="12.7109375" style="156" customWidth="1"/>
    <col min="14607" max="14607" width="16.42578125" style="156" customWidth="1"/>
    <col min="14608" max="14608" width="29.7109375" style="156" customWidth="1"/>
    <col min="14609" max="14609" width="29.140625" style="156" customWidth="1"/>
    <col min="14610" max="14610" width="33.5703125" style="156" customWidth="1"/>
    <col min="14611" max="14611" width="25" style="156" customWidth="1"/>
    <col min="14612" max="14612" width="11.7109375" style="156" customWidth="1"/>
    <col min="14613" max="14613" width="17.28515625" style="156" customWidth="1"/>
    <col min="14614" max="14629" width="7.28515625" style="156" customWidth="1"/>
    <col min="14630" max="14631" width="13.7109375" style="156" customWidth="1"/>
    <col min="14632" max="14632" width="20.85546875" style="156" customWidth="1"/>
    <col min="14633" max="14848" width="11.42578125" style="156"/>
    <col min="14849" max="14849" width="13.140625" style="156" customWidth="1"/>
    <col min="14850" max="14850" width="35.28515625" style="156" customWidth="1"/>
    <col min="14851" max="14851" width="12.85546875" style="156" customWidth="1"/>
    <col min="14852" max="14852" width="19.5703125" style="156" customWidth="1"/>
    <col min="14853" max="14853" width="12.28515625" style="156" customWidth="1"/>
    <col min="14854" max="14854" width="21.28515625" style="156" customWidth="1"/>
    <col min="14855" max="14855" width="11.5703125" style="156" customWidth="1"/>
    <col min="14856" max="14856" width="33.140625" style="156" customWidth="1"/>
    <col min="14857" max="14857" width="22.7109375" style="156" customWidth="1"/>
    <col min="14858" max="14858" width="10.7109375" style="156" customWidth="1"/>
    <col min="14859" max="14859" width="27.7109375" style="156" customWidth="1"/>
    <col min="14860" max="14860" width="21.42578125" style="156" customWidth="1"/>
    <col min="14861" max="14861" width="22.140625" style="156" customWidth="1"/>
    <col min="14862" max="14862" width="12.7109375" style="156" customWidth="1"/>
    <col min="14863" max="14863" width="16.42578125" style="156" customWidth="1"/>
    <col min="14864" max="14864" width="29.7109375" style="156" customWidth="1"/>
    <col min="14865" max="14865" width="29.140625" style="156" customWidth="1"/>
    <col min="14866" max="14866" width="33.5703125" style="156" customWidth="1"/>
    <col min="14867" max="14867" width="25" style="156" customWidth="1"/>
    <col min="14868" max="14868" width="11.7109375" style="156" customWidth="1"/>
    <col min="14869" max="14869" width="17.28515625" style="156" customWidth="1"/>
    <col min="14870" max="14885" width="7.28515625" style="156" customWidth="1"/>
    <col min="14886" max="14887" width="13.7109375" style="156" customWidth="1"/>
    <col min="14888" max="14888" width="20.85546875" style="156" customWidth="1"/>
    <col min="14889" max="15104" width="11.42578125" style="156"/>
    <col min="15105" max="15105" width="13.140625" style="156" customWidth="1"/>
    <col min="15106" max="15106" width="35.28515625" style="156" customWidth="1"/>
    <col min="15107" max="15107" width="12.85546875" style="156" customWidth="1"/>
    <col min="15108" max="15108" width="19.5703125" style="156" customWidth="1"/>
    <col min="15109" max="15109" width="12.28515625" style="156" customWidth="1"/>
    <col min="15110" max="15110" width="21.28515625" style="156" customWidth="1"/>
    <col min="15111" max="15111" width="11.5703125" style="156" customWidth="1"/>
    <col min="15112" max="15112" width="33.140625" style="156" customWidth="1"/>
    <col min="15113" max="15113" width="22.7109375" style="156" customWidth="1"/>
    <col min="15114" max="15114" width="10.7109375" style="156" customWidth="1"/>
    <col min="15115" max="15115" width="27.7109375" style="156" customWidth="1"/>
    <col min="15116" max="15116" width="21.42578125" style="156" customWidth="1"/>
    <col min="15117" max="15117" width="22.140625" style="156" customWidth="1"/>
    <col min="15118" max="15118" width="12.7109375" style="156" customWidth="1"/>
    <col min="15119" max="15119" width="16.42578125" style="156" customWidth="1"/>
    <col min="15120" max="15120" width="29.7109375" style="156" customWidth="1"/>
    <col min="15121" max="15121" width="29.140625" style="156" customWidth="1"/>
    <col min="15122" max="15122" width="33.5703125" style="156" customWidth="1"/>
    <col min="15123" max="15123" width="25" style="156" customWidth="1"/>
    <col min="15124" max="15124" width="11.7109375" style="156" customWidth="1"/>
    <col min="15125" max="15125" width="17.28515625" style="156" customWidth="1"/>
    <col min="15126" max="15141" width="7.28515625" style="156" customWidth="1"/>
    <col min="15142" max="15143" width="13.7109375" style="156" customWidth="1"/>
    <col min="15144" max="15144" width="20.85546875" style="156" customWidth="1"/>
    <col min="15145" max="15360" width="11.42578125" style="156"/>
    <col min="15361" max="15361" width="13.140625" style="156" customWidth="1"/>
    <col min="15362" max="15362" width="35.28515625" style="156" customWidth="1"/>
    <col min="15363" max="15363" width="12.85546875" style="156" customWidth="1"/>
    <col min="15364" max="15364" width="19.5703125" style="156" customWidth="1"/>
    <col min="15365" max="15365" width="12.28515625" style="156" customWidth="1"/>
    <col min="15366" max="15366" width="21.28515625" style="156" customWidth="1"/>
    <col min="15367" max="15367" width="11.5703125" style="156" customWidth="1"/>
    <col min="15368" max="15368" width="33.140625" style="156" customWidth="1"/>
    <col min="15369" max="15369" width="22.7109375" style="156" customWidth="1"/>
    <col min="15370" max="15370" width="10.7109375" style="156" customWidth="1"/>
    <col min="15371" max="15371" width="27.7109375" style="156" customWidth="1"/>
    <col min="15372" max="15372" width="21.42578125" style="156" customWidth="1"/>
    <col min="15373" max="15373" width="22.140625" style="156" customWidth="1"/>
    <col min="15374" max="15374" width="12.7109375" style="156" customWidth="1"/>
    <col min="15375" max="15375" width="16.42578125" style="156" customWidth="1"/>
    <col min="15376" max="15376" width="29.7109375" style="156" customWidth="1"/>
    <col min="15377" max="15377" width="29.140625" style="156" customWidth="1"/>
    <col min="15378" max="15378" width="33.5703125" style="156" customWidth="1"/>
    <col min="15379" max="15379" width="25" style="156" customWidth="1"/>
    <col min="15380" max="15380" width="11.7109375" style="156" customWidth="1"/>
    <col min="15381" max="15381" width="17.28515625" style="156" customWidth="1"/>
    <col min="15382" max="15397" width="7.28515625" style="156" customWidth="1"/>
    <col min="15398" max="15399" width="13.7109375" style="156" customWidth="1"/>
    <col min="15400" max="15400" width="20.85546875" style="156" customWidth="1"/>
    <col min="15401" max="15616" width="11.42578125" style="156"/>
    <col min="15617" max="15617" width="13.140625" style="156" customWidth="1"/>
    <col min="15618" max="15618" width="35.28515625" style="156" customWidth="1"/>
    <col min="15619" max="15619" width="12.85546875" style="156" customWidth="1"/>
    <col min="15620" max="15620" width="19.5703125" style="156" customWidth="1"/>
    <col min="15621" max="15621" width="12.28515625" style="156" customWidth="1"/>
    <col min="15622" max="15622" width="21.28515625" style="156" customWidth="1"/>
    <col min="15623" max="15623" width="11.5703125" style="156" customWidth="1"/>
    <col min="15624" max="15624" width="33.140625" style="156" customWidth="1"/>
    <col min="15625" max="15625" width="22.7109375" style="156" customWidth="1"/>
    <col min="15626" max="15626" width="10.7109375" style="156" customWidth="1"/>
    <col min="15627" max="15627" width="27.7109375" style="156" customWidth="1"/>
    <col min="15628" max="15628" width="21.42578125" style="156" customWidth="1"/>
    <col min="15629" max="15629" width="22.140625" style="156" customWidth="1"/>
    <col min="15630" max="15630" width="12.7109375" style="156" customWidth="1"/>
    <col min="15631" max="15631" width="16.42578125" style="156" customWidth="1"/>
    <col min="15632" max="15632" width="29.7109375" style="156" customWidth="1"/>
    <col min="15633" max="15633" width="29.140625" style="156" customWidth="1"/>
    <col min="15634" max="15634" width="33.5703125" style="156" customWidth="1"/>
    <col min="15635" max="15635" width="25" style="156" customWidth="1"/>
    <col min="15636" max="15636" width="11.7109375" style="156" customWidth="1"/>
    <col min="15637" max="15637" width="17.28515625" style="156" customWidth="1"/>
    <col min="15638" max="15653" width="7.28515625" style="156" customWidth="1"/>
    <col min="15654" max="15655" width="13.7109375" style="156" customWidth="1"/>
    <col min="15656" max="15656" width="20.85546875" style="156" customWidth="1"/>
    <col min="15657" max="15872" width="11.42578125" style="156"/>
    <col min="15873" max="15873" width="13.140625" style="156" customWidth="1"/>
    <col min="15874" max="15874" width="35.28515625" style="156" customWidth="1"/>
    <col min="15875" max="15875" width="12.85546875" style="156" customWidth="1"/>
    <col min="15876" max="15876" width="19.5703125" style="156" customWidth="1"/>
    <col min="15877" max="15877" width="12.28515625" style="156" customWidth="1"/>
    <col min="15878" max="15878" width="21.28515625" style="156" customWidth="1"/>
    <col min="15879" max="15879" width="11.5703125" style="156" customWidth="1"/>
    <col min="15880" max="15880" width="33.140625" style="156" customWidth="1"/>
    <col min="15881" max="15881" width="22.7109375" style="156" customWidth="1"/>
    <col min="15882" max="15882" width="10.7109375" style="156" customWidth="1"/>
    <col min="15883" max="15883" width="27.7109375" style="156" customWidth="1"/>
    <col min="15884" max="15884" width="21.42578125" style="156" customWidth="1"/>
    <col min="15885" max="15885" width="22.140625" style="156" customWidth="1"/>
    <col min="15886" max="15886" width="12.7109375" style="156" customWidth="1"/>
    <col min="15887" max="15887" width="16.42578125" style="156" customWidth="1"/>
    <col min="15888" max="15888" width="29.7109375" style="156" customWidth="1"/>
    <col min="15889" max="15889" width="29.140625" style="156" customWidth="1"/>
    <col min="15890" max="15890" width="33.5703125" style="156" customWidth="1"/>
    <col min="15891" max="15891" width="25" style="156" customWidth="1"/>
    <col min="15892" max="15892" width="11.7109375" style="156" customWidth="1"/>
    <col min="15893" max="15893" width="17.28515625" style="156" customWidth="1"/>
    <col min="15894" max="15909" width="7.28515625" style="156" customWidth="1"/>
    <col min="15910" max="15911" width="13.7109375" style="156" customWidth="1"/>
    <col min="15912" max="15912" width="20.85546875" style="156" customWidth="1"/>
    <col min="15913" max="16128" width="11.42578125" style="156"/>
    <col min="16129" max="16129" width="13.140625" style="156" customWidth="1"/>
    <col min="16130" max="16130" width="35.28515625" style="156" customWidth="1"/>
    <col min="16131" max="16131" width="12.85546875" style="156" customWidth="1"/>
    <col min="16132" max="16132" width="19.5703125" style="156" customWidth="1"/>
    <col min="16133" max="16133" width="12.28515625" style="156" customWidth="1"/>
    <col min="16134" max="16134" width="21.28515625" style="156" customWidth="1"/>
    <col min="16135" max="16135" width="11.5703125" style="156" customWidth="1"/>
    <col min="16136" max="16136" width="33.140625" style="156" customWidth="1"/>
    <col min="16137" max="16137" width="22.7109375" style="156" customWidth="1"/>
    <col min="16138" max="16138" width="10.7109375" style="156" customWidth="1"/>
    <col min="16139" max="16139" width="27.7109375" style="156" customWidth="1"/>
    <col min="16140" max="16140" width="21.42578125" style="156" customWidth="1"/>
    <col min="16141" max="16141" width="22.140625" style="156" customWidth="1"/>
    <col min="16142" max="16142" width="12.7109375" style="156" customWidth="1"/>
    <col min="16143" max="16143" width="16.42578125" style="156" customWidth="1"/>
    <col min="16144" max="16144" width="29.7109375" style="156" customWidth="1"/>
    <col min="16145" max="16145" width="29.140625" style="156" customWidth="1"/>
    <col min="16146" max="16146" width="33.5703125" style="156" customWidth="1"/>
    <col min="16147" max="16147" width="25" style="156" customWidth="1"/>
    <col min="16148" max="16148" width="11.7109375" style="156" customWidth="1"/>
    <col min="16149" max="16149" width="17.28515625" style="156" customWidth="1"/>
    <col min="16150" max="16165" width="7.28515625" style="156" customWidth="1"/>
    <col min="16166" max="16167" width="13.7109375" style="156" customWidth="1"/>
    <col min="16168" max="16168" width="20.85546875" style="156" customWidth="1"/>
    <col min="16169" max="16384" width="11.42578125" style="156"/>
  </cols>
  <sheetData>
    <row r="1" spans="1:60" ht="20.25" customHeight="1" x14ac:dyDescent="0.25">
      <c r="A1" s="3532" t="s">
        <v>121</v>
      </c>
      <c r="B1" s="3533"/>
      <c r="C1" s="3533"/>
      <c r="D1" s="3533"/>
      <c r="E1" s="3533"/>
      <c r="F1" s="3533"/>
      <c r="G1" s="3533"/>
      <c r="H1" s="3533"/>
      <c r="I1" s="3533"/>
      <c r="J1" s="3533"/>
      <c r="K1" s="3533"/>
      <c r="L1" s="3533"/>
      <c r="M1" s="3533"/>
      <c r="N1" s="3533"/>
      <c r="O1" s="3533"/>
      <c r="P1" s="3533"/>
      <c r="Q1" s="3533"/>
      <c r="R1" s="3533"/>
      <c r="S1" s="3533"/>
      <c r="T1" s="3533"/>
      <c r="U1" s="3533"/>
      <c r="V1" s="3533"/>
      <c r="W1" s="3533"/>
      <c r="X1" s="3533"/>
      <c r="Y1" s="3533"/>
      <c r="Z1" s="3533"/>
      <c r="AA1" s="3533"/>
      <c r="AB1" s="3533"/>
      <c r="AC1" s="3533"/>
      <c r="AD1" s="3533"/>
      <c r="AE1" s="3533"/>
      <c r="AF1" s="3533"/>
      <c r="AG1" s="3533"/>
      <c r="AH1" s="3533"/>
      <c r="AI1" s="3533"/>
      <c r="AJ1" s="3533"/>
      <c r="AK1" s="3533"/>
      <c r="AL1" s="3534"/>
      <c r="AM1" s="154" t="s">
        <v>1</v>
      </c>
      <c r="AN1" s="154" t="s">
        <v>122</v>
      </c>
      <c r="AO1" s="155"/>
      <c r="AP1" s="155"/>
      <c r="AQ1" s="155"/>
      <c r="AR1" s="155"/>
      <c r="AS1" s="155"/>
      <c r="AT1" s="155"/>
      <c r="AU1" s="155"/>
      <c r="AV1" s="155"/>
      <c r="AW1" s="155"/>
      <c r="AX1" s="155"/>
      <c r="AY1" s="155"/>
      <c r="AZ1" s="155"/>
      <c r="BA1" s="155"/>
      <c r="BB1" s="155"/>
      <c r="BC1" s="155"/>
      <c r="BD1" s="155"/>
      <c r="BE1" s="155"/>
      <c r="BF1" s="155"/>
      <c r="BG1" s="155"/>
      <c r="BH1" s="155"/>
    </row>
    <row r="2" spans="1:60" ht="20.25" customHeight="1" x14ac:dyDescent="0.25">
      <c r="A2" s="3533"/>
      <c r="B2" s="3533"/>
      <c r="C2" s="3533"/>
      <c r="D2" s="3533"/>
      <c r="E2" s="3533"/>
      <c r="F2" s="3533"/>
      <c r="G2" s="3533"/>
      <c r="H2" s="3533"/>
      <c r="I2" s="3533"/>
      <c r="J2" s="3533"/>
      <c r="K2" s="3533"/>
      <c r="L2" s="3533"/>
      <c r="M2" s="3533"/>
      <c r="N2" s="3533"/>
      <c r="O2" s="3533"/>
      <c r="P2" s="3533"/>
      <c r="Q2" s="3533"/>
      <c r="R2" s="3533"/>
      <c r="S2" s="3533"/>
      <c r="T2" s="3533"/>
      <c r="U2" s="3533"/>
      <c r="V2" s="3533"/>
      <c r="W2" s="3533"/>
      <c r="X2" s="3533"/>
      <c r="Y2" s="3533"/>
      <c r="Z2" s="3533"/>
      <c r="AA2" s="3533"/>
      <c r="AB2" s="3533"/>
      <c r="AC2" s="3533"/>
      <c r="AD2" s="3533"/>
      <c r="AE2" s="3533"/>
      <c r="AF2" s="3533"/>
      <c r="AG2" s="3533"/>
      <c r="AH2" s="3533"/>
      <c r="AI2" s="3533"/>
      <c r="AJ2" s="3533"/>
      <c r="AK2" s="3533"/>
      <c r="AL2" s="3534"/>
      <c r="AM2" s="157" t="s">
        <v>3</v>
      </c>
      <c r="AN2" s="154" t="s">
        <v>123</v>
      </c>
      <c r="AO2" s="155"/>
      <c r="AP2" s="155"/>
      <c r="AQ2" s="155"/>
      <c r="AR2" s="155"/>
      <c r="AS2" s="155"/>
      <c r="AT2" s="155"/>
      <c r="AU2" s="155"/>
      <c r="AV2" s="155"/>
      <c r="AW2" s="155"/>
      <c r="AX2" s="155"/>
      <c r="AY2" s="155"/>
      <c r="AZ2" s="155"/>
      <c r="BA2" s="155"/>
      <c r="BB2" s="155"/>
      <c r="BC2" s="155"/>
      <c r="BD2" s="155"/>
      <c r="BE2" s="155"/>
      <c r="BF2" s="155"/>
      <c r="BG2" s="155"/>
      <c r="BH2" s="155"/>
    </row>
    <row r="3" spans="1:60" ht="16.5" customHeight="1" x14ac:dyDescent="0.25">
      <c r="A3" s="3533"/>
      <c r="B3" s="3533"/>
      <c r="C3" s="3533"/>
      <c r="D3" s="3533"/>
      <c r="E3" s="3533"/>
      <c r="F3" s="3533"/>
      <c r="G3" s="3533"/>
      <c r="H3" s="3533"/>
      <c r="I3" s="3533"/>
      <c r="J3" s="3533"/>
      <c r="K3" s="3533"/>
      <c r="L3" s="3533"/>
      <c r="M3" s="3533"/>
      <c r="N3" s="3533"/>
      <c r="O3" s="3533"/>
      <c r="P3" s="3533"/>
      <c r="Q3" s="3533"/>
      <c r="R3" s="3533"/>
      <c r="S3" s="3533"/>
      <c r="T3" s="3533"/>
      <c r="U3" s="3533"/>
      <c r="V3" s="3533"/>
      <c r="W3" s="3533"/>
      <c r="X3" s="3533"/>
      <c r="Y3" s="3533"/>
      <c r="Z3" s="3533"/>
      <c r="AA3" s="3533"/>
      <c r="AB3" s="3533"/>
      <c r="AC3" s="3533"/>
      <c r="AD3" s="3533"/>
      <c r="AE3" s="3533"/>
      <c r="AF3" s="3533"/>
      <c r="AG3" s="3533"/>
      <c r="AH3" s="3533"/>
      <c r="AI3" s="3533"/>
      <c r="AJ3" s="3533"/>
      <c r="AK3" s="3533"/>
      <c r="AL3" s="3534"/>
      <c r="AM3" s="154" t="s">
        <v>5</v>
      </c>
      <c r="AN3" s="158" t="s">
        <v>6</v>
      </c>
      <c r="AO3" s="155"/>
      <c r="AP3" s="155"/>
      <c r="AQ3" s="155"/>
      <c r="AR3" s="155"/>
      <c r="AS3" s="155"/>
      <c r="AT3" s="155"/>
      <c r="AU3" s="155"/>
      <c r="AV3" s="155"/>
      <c r="AW3" s="155"/>
      <c r="AX3" s="155"/>
      <c r="AY3" s="155"/>
      <c r="AZ3" s="155"/>
      <c r="BA3" s="155"/>
      <c r="BB3" s="155"/>
      <c r="BC3" s="155"/>
      <c r="BD3" s="155"/>
      <c r="BE3" s="155"/>
      <c r="BF3" s="155"/>
      <c r="BG3" s="155"/>
      <c r="BH3" s="155"/>
    </row>
    <row r="4" spans="1:60" ht="18.75" customHeight="1" x14ac:dyDescent="0.25">
      <c r="A4" s="3535"/>
      <c r="B4" s="3535"/>
      <c r="C4" s="3535"/>
      <c r="D4" s="3535"/>
      <c r="E4" s="3535"/>
      <c r="F4" s="3535"/>
      <c r="G4" s="3535"/>
      <c r="H4" s="3535"/>
      <c r="I4" s="3535"/>
      <c r="J4" s="3535"/>
      <c r="K4" s="3535"/>
      <c r="L4" s="3535"/>
      <c r="M4" s="3535"/>
      <c r="N4" s="3535"/>
      <c r="O4" s="3535"/>
      <c r="P4" s="3535"/>
      <c r="Q4" s="3535"/>
      <c r="R4" s="3535"/>
      <c r="S4" s="3535"/>
      <c r="T4" s="3535"/>
      <c r="U4" s="3535"/>
      <c r="V4" s="3535"/>
      <c r="W4" s="3535"/>
      <c r="X4" s="3535"/>
      <c r="Y4" s="3535"/>
      <c r="Z4" s="3535"/>
      <c r="AA4" s="3535"/>
      <c r="AB4" s="3535"/>
      <c r="AC4" s="3535"/>
      <c r="AD4" s="3535"/>
      <c r="AE4" s="3535"/>
      <c r="AF4" s="3535"/>
      <c r="AG4" s="3535"/>
      <c r="AH4" s="3535"/>
      <c r="AI4" s="3535"/>
      <c r="AJ4" s="3535"/>
      <c r="AK4" s="3535"/>
      <c r="AL4" s="3536"/>
      <c r="AM4" s="154" t="s">
        <v>7</v>
      </c>
      <c r="AN4" s="159" t="s">
        <v>8</v>
      </c>
      <c r="AO4" s="155"/>
      <c r="AP4" s="155"/>
      <c r="AQ4" s="155"/>
      <c r="AR4" s="155"/>
      <c r="AS4" s="155"/>
      <c r="AT4" s="155"/>
      <c r="AU4" s="155"/>
      <c r="AV4" s="155"/>
      <c r="AW4" s="155"/>
      <c r="AX4" s="155"/>
      <c r="AY4" s="155"/>
      <c r="AZ4" s="155"/>
      <c r="BA4" s="155"/>
      <c r="BB4" s="155"/>
      <c r="BC4" s="155"/>
      <c r="BD4" s="155"/>
      <c r="BE4" s="155"/>
      <c r="BF4" s="155"/>
      <c r="BG4" s="155"/>
      <c r="BH4" s="155"/>
    </row>
    <row r="5" spans="1:60" ht="18.75" customHeight="1" x14ac:dyDescent="0.25">
      <c r="A5" s="3537" t="s">
        <v>9</v>
      </c>
      <c r="B5" s="3537"/>
      <c r="C5" s="3537"/>
      <c r="D5" s="3537"/>
      <c r="E5" s="3537"/>
      <c r="F5" s="3537"/>
      <c r="G5" s="3537"/>
      <c r="H5" s="3537"/>
      <c r="I5" s="3537"/>
      <c r="J5" s="3537"/>
      <c r="K5" s="3539" t="s">
        <v>10</v>
      </c>
      <c r="L5" s="3539"/>
      <c r="M5" s="3539"/>
      <c r="N5" s="3539"/>
      <c r="O5" s="3539"/>
      <c r="P5" s="3539"/>
      <c r="Q5" s="3539"/>
      <c r="R5" s="3539"/>
      <c r="S5" s="3539"/>
      <c r="T5" s="3539"/>
      <c r="U5" s="3539"/>
      <c r="V5" s="3539"/>
      <c r="W5" s="3539"/>
      <c r="X5" s="3539"/>
      <c r="Y5" s="3539"/>
      <c r="Z5" s="3539"/>
      <c r="AA5" s="3539"/>
      <c r="AB5" s="3539"/>
      <c r="AC5" s="3539"/>
      <c r="AD5" s="3539"/>
      <c r="AE5" s="3539"/>
      <c r="AF5" s="3539"/>
      <c r="AG5" s="3539"/>
      <c r="AH5" s="3539"/>
      <c r="AI5" s="3539"/>
      <c r="AJ5" s="3539"/>
      <c r="AK5" s="3539"/>
      <c r="AL5" s="3539"/>
      <c r="AM5" s="3539"/>
      <c r="AN5" s="3539"/>
      <c r="AO5" s="155"/>
      <c r="AP5" s="155"/>
      <c r="AQ5" s="155"/>
      <c r="AR5" s="155"/>
      <c r="AS5" s="155"/>
      <c r="AT5" s="155"/>
      <c r="AU5" s="155"/>
      <c r="AV5" s="155"/>
      <c r="AW5" s="155"/>
      <c r="AX5" s="155"/>
      <c r="AY5" s="155"/>
      <c r="AZ5" s="155"/>
      <c r="BA5" s="155"/>
      <c r="BB5" s="155"/>
      <c r="BC5" s="155"/>
      <c r="BD5" s="155"/>
      <c r="BE5" s="155"/>
      <c r="BF5" s="155"/>
      <c r="BG5" s="155"/>
      <c r="BH5" s="155"/>
    </row>
    <row r="6" spans="1:60" ht="24" customHeight="1" x14ac:dyDescent="0.25">
      <c r="A6" s="3538"/>
      <c r="B6" s="3538"/>
      <c r="C6" s="3538"/>
      <c r="D6" s="3538"/>
      <c r="E6" s="3538"/>
      <c r="F6" s="3538"/>
      <c r="G6" s="3538"/>
      <c r="H6" s="3538"/>
      <c r="I6" s="3538"/>
      <c r="J6" s="3538"/>
      <c r="K6" s="160"/>
      <c r="L6" s="161"/>
      <c r="M6" s="161"/>
      <c r="N6" s="162"/>
      <c r="O6" s="161"/>
      <c r="P6" s="161"/>
      <c r="Q6" s="161"/>
      <c r="R6" s="161"/>
      <c r="S6" s="161"/>
      <c r="T6" s="161"/>
      <c r="U6" s="161"/>
      <c r="V6" s="3540" t="s">
        <v>11</v>
      </c>
      <c r="W6" s="3538"/>
      <c r="X6" s="3538"/>
      <c r="Y6" s="3538"/>
      <c r="Z6" s="3538"/>
      <c r="AA6" s="3538"/>
      <c r="AB6" s="3538"/>
      <c r="AC6" s="3538"/>
      <c r="AD6" s="3538"/>
      <c r="AE6" s="3538"/>
      <c r="AF6" s="3538"/>
      <c r="AG6" s="3538"/>
      <c r="AH6" s="3538"/>
      <c r="AI6" s="3538"/>
      <c r="AJ6" s="3541"/>
      <c r="AK6" s="163"/>
      <c r="AL6" s="161"/>
      <c r="AM6" s="161"/>
      <c r="AN6" s="164"/>
      <c r="AO6" s="155"/>
      <c r="AP6" s="155"/>
      <c r="AQ6" s="155"/>
      <c r="AR6" s="155"/>
      <c r="AS6" s="155"/>
      <c r="AT6" s="155"/>
      <c r="AU6" s="155"/>
      <c r="AV6" s="155"/>
      <c r="AW6" s="155"/>
      <c r="AX6" s="155"/>
      <c r="AY6" s="155"/>
      <c r="AZ6" s="155"/>
      <c r="BA6" s="155"/>
      <c r="BB6" s="155"/>
      <c r="BC6" s="155"/>
      <c r="BD6" s="155"/>
      <c r="BE6" s="155"/>
      <c r="BF6" s="155"/>
      <c r="BG6" s="155"/>
      <c r="BH6" s="155"/>
    </row>
    <row r="7" spans="1:60" ht="36" customHeight="1" x14ac:dyDescent="0.25">
      <c r="A7" s="3542" t="s">
        <v>12</v>
      </c>
      <c r="B7" s="3544" t="s">
        <v>13</v>
      </c>
      <c r="C7" s="3546" t="s">
        <v>12</v>
      </c>
      <c r="D7" s="3544" t="s">
        <v>14</v>
      </c>
      <c r="E7" s="3546" t="s">
        <v>12</v>
      </c>
      <c r="F7" s="3546" t="s">
        <v>15</v>
      </c>
      <c r="G7" s="3554" t="s">
        <v>12</v>
      </c>
      <c r="H7" s="3547" t="s">
        <v>16</v>
      </c>
      <c r="I7" s="3550" t="s">
        <v>17</v>
      </c>
      <c r="J7" s="165" t="s">
        <v>18</v>
      </c>
      <c r="K7" s="3550" t="s">
        <v>19</v>
      </c>
      <c r="L7" s="3550" t="s">
        <v>20</v>
      </c>
      <c r="M7" s="3550" t="s">
        <v>10</v>
      </c>
      <c r="N7" s="3584" t="s">
        <v>21</v>
      </c>
      <c r="O7" s="3586" t="s">
        <v>22</v>
      </c>
      <c r="P7" s="3547" t="s">
        <v>23</v>
      </c>
      <c r="Q7" s="3544" t="s">
        <v>24</v>
      </c>
      <c r="R7" s="3550" t="s">
        <v>25</v>
      </c>
      <c r="S7" s="3552" t="s">
        <v>22</v>
      </c>
      <c r="T7" s="166"/>
      <c r="U7" s="3550" t="s">
        <v>26</v>
      </c>
      <c r="V7" s="3579" t="s">
        <v>27</v>
      </c>
      <c r="W7" s="3579"/>
      <c r="X7" s="3580" t="s">
        <v>28</v>
      </c>
      <c r="Y7" s="3580"/>
      <c r="Z7" s="3580"/>
      <c r="AA7" s="3580"/>
      <c r="AB7" s="3581" t="s">
        <v>29</v>
      </c>
      <c r="AC7" s="3582"/>
      <c r="AD7" s="3582"/>
      <c r="AE7" s="3582"/>
      <c r="AF7" s="3582"/>
      <c r="AG7" s="3583"/>
      <c r="AH7" s="3580" t="s">
        <v>30</v>
      </c>
      <c r="AI7" s="3580"/>
      <c r="AJ7" s="3580"/>
      <c r="AK7" s="167" t="s">
        <v>31</v>
      </c>
      <c r="AL7" s="3564" t="s">
        <v>32</v>
      </c>
      <c r="AM7" s="3564" t="s">
        <v>33</v>
      </c>
      <c r="AN7" s="3566" t="s">
        <v>34</v>
      </c>
      <c r="AO7" s="155"/>
      <c r="AP7" s="155"/>
      <c r="AQ7" s="155"/>
      <c r="AR7" s="155"/>
      <c r="AS7" s="155"/>
      <c r="AT7" s="155"/>
      <c r="AU7" s="155"/>
      <c r="AV7" s="155"/>
      <c r="AW7" s="155"/>
      <c r="AX7" s="155"/>
      <c r="AY7" s="155"/>
      <c r="AZ7" s="155"/>
      <c r="BA7" s="155"/>
      <c r="BB7" s="155"/>
      <c r="BC7" s="155"/>
      <c r="BD7" s="155"/>
      <c r="BE7" s="155"/>
      <c r="BF7" s="155"/>
      <c r="BG7" s="155"/>
      <c r="BH7" s="155"/>
    </row>
    <row r="8" spans="1:60" s="174" customFormat="1" ht="141.75" customHeight="1" x14ac:dyDescent="0.25">
      <c r="A8" s="3543"/>
      <c r="B8" s="3545"/>
      <c r="C8" s="3546"/>
      <c r="D8" s="3545"/>
      <c r="E8" s="3546"/>
      <c r="F8" s="3546"/>
      <c r="G8" s="3555"/>
      <c r="H8" s="3548"/>
      <c r="I8" s="3551"/>
      <c r="J8" s="168" t="s">
        <v>124</v>
      </c>
      <c r="K8" s="3551"/>
      <c r="L8" s="3551"/>
      <c r="M8" s="3551"/>
      <c r="N8" s="3585"/>
      <c r="O8" s="3587"/>
      <c r="P8" s="3548"/>
      <c r="Q8" s="3549"/>
      <c r="R8" s="3551"/>
      <c r="S8" s="3553"/>
      <c r="T8" s="169" t="s">
        <v>12</v>
      </c>
      <c r="U8" s="3551"/>
      <c r="V8" s="170" t="s">
        <v>35</v>
      </c>
      <c r="W8" s="171" t="s">
        <v>36</v>
      </c>
      <c r="X8" s="172" t="s">
        <v>37</v>
      </c>
      <c r="Y8" s="172" t="s">
        <v>125</v>
      </c>
      <c r="Z8" s="172" t="s">
        <v>126</v>
      </c>
      <c r="AA8" s="172" t="s">
        <v>127</v>
      </c>
      <c r="AB8" s="172" t="s">
        <v>41</v>
      </c>
      <c r="AC8" s="172" t="s">
        <v>42</v>
      </c>
      <c r="AD8" s="172" t="s">
        <v>43</v>
      </c>
      <c r="AE8" s="172" t="s">
        <v>44</v>
      </c>
      <c r="AF8" s="172" t="s">
        <v>45</v>
      </c>
      <c r="AG8" s="172" t="s">
        <v>46</v>
      </c>
      <c r="AH8" s="172" t="s">
        <v>47</v>
      </c>
      <c r="AI8" s="172" t="s">
        <v>48</v>
      </c>
      <c r="AJ8" s="172" t="s">
        <v>49</v>
      </c>
      <c r="AK8" s="172" t="s">
        <v>31</v>
      </c>
      <c r="AL8" s="3565"/>
      <c r="AM8" s="3565"/>
      <c r="AN8" s="3567"/>
      <c r="AO8" s="173"/>
      <c r="AP8" s="173"/>
      <c r="AQ8" s="173"/>
      <c r="AR8" s="173"/>
      <c r="AS8" s="173"/>
      <c r="AT8" s="173"/>
      <c r="AU8" s="173"/>
      <c r="AV8" s="173"/>
      <c r="AW8" s="173"/>
      <c r="AX8" s="173"/>
      <c r="AY8" s="173"/>
      <c r="AZ8" s="173"/>
      <c r="BA8" s="173"/>
      <c r="BB8" s="173"/>
      <c r="BC8" s="173"/>
      <c r="BD8" s="173"/>
      <c r="BE8" s="173"/>
      <c r="BF8" s="173"/>
      <c r="BG8" s="173"/>
      <c r="BH8" s="173"/>
    </row>
    <row r="9" spans="1:60" ht="15" x14ac:dyDescent="0.25">
      <c r="A9" s="175">
        <v>1</v>
      </c>
      <c r="B9" s="3568" t="s">
        <v>128</v>
      </c>
      <c r="C9" s="3569"/>
      <c r="D9" s="3568"/>
      <c r="E9" s="176"/>
      <c r="F9" s="176"/>
      <c r="G9" s="177"/>
      <c r="H9" s="176"/>
      <c r="I9" s="176"/>
      <c r="J9" s="176"/>
      <c r="K9" s="176"/>
      <c r="L9" s="176"/>
      <c r="M9" s="176"/>
      <c r="N9" s="178"/>
      <c r="O9" s="176"/>
      <c r="P9" s="176"/>
      <c r="Q9" s="176"/>
      <c r="R9" s="176"/>
      <c r="S9" s="176"/>
      <c r="T9" s="176"/>
      <c r="U9" s="176"/>
      <c r="V9" s="176"/>
      <c r="W9" s="176"/>
      <c r="X9" s="176"/>
      <c r="Y9" s="176"/>
      <c r="Z9" s="176"/>
      <c r="AA9" s="176"/>
      <c r="AB9" s="176"/>
      <c r="AC9" s="176"/>
      <c r="AD9" s="176"/>
      <c r="AE9" s="176"/>
      <c r="AF9" s="176"/>
      <c r="AG9" s="176"/>
      <c r="AH9" s="176"/>
      <c r="AI9" s="176"/>
      <c r="AJ9" s="176"/>
      <c r="AK9" s="176"/>
      <c r="AL9" s="176"/>
      <c r="AM9" s="176"/>
      <c r="AN9" s="179"/>
      <c r="AO9" s="155"/>
      <c r="AP9" s="155"/>
      <c r="AQ9" s="155"/>
      <c r="AR9" s="155"/>
      <c r="AS9" s="155"/>
      <c r="AT9" s="155"/>
      <c r="AU9" s="155"/>
      <c r="AV9" s="155"/>
      <c r="AW9" s="155"/>
      <c r="AX9" s="155"/>
      <c r="AY9" s="155"/>
      <c r="AZ9" s="155"/>
      <c r="BA9" s="155"/>
      <c r="BB9" s="155"/>
      <c r="BC9" s="155"/>
      <c r="BD9" s="155"/>
      <c r="BE9" s="155"/>
      <c r="BF9" s="155"/>
      <c r="BG9" s="155"/>
      <c r="BH9" s="155"/>
    </row>
    <row r="10" spans="1:60" s="155" customFormat="1" ht="15" x14ac:dyDescent="0.25">
      <c r="A10" s="3570"/>
      <c r="B10" s="3570"/>
      <c r="C10" s="180">
        <v>1</v>
      </c>
      <c r="D10" s="181" t="s">
        <v>129</v>
      </c>
      <c r="E10" s="181"/>
      <c r="F10" s="181"/>
      <c r="G10" s="182"/>
      <c r="H10" s="183"/>
      <c r="I10" s="181"/>
      <c r="J10" s="181"/>
      <c r="K10" s="181"/>
      <c r="L10" s="182"/>
      <c r="M10" s="183"/>
      <c r="N10" s="184"/>
      <c r="O10" s="185"/>
      <c r="P10" s="183"/>
      <c r="Q10" s="183"/>
      <c r="R10" s="183"/>
      <c r="S10" s="186"/>
      <c r="T10" s="187"/>
      <c r="U10" s="182"/>
      <c r="V10" s="181"/>
      <c r="W10" s="181"/>
      <c r="X10" s="181"/>
      <c r="Y10" s="181"/>
      <c r="Z10" s="181"/>
      <c r="AA10" s="181"/>
      <c r="AB10" s="181"/>
      <c r="AC10" s="181"/>
      <c r="AD10" s="181"/>
      <c r="AE10" s="181"/>
      <c r="AF10" s="181"/>
      <c r="AG10" s="181"/>
      <c r="AH10" s="181"/>
      <c r="AI10" s="181"/>
      <c r="AJ10" s="181"/>
      <c r="AK10" s="181"/>
      <c r="AL10" s="188"/>
      <c r="AM10" s="188"/>
      <c r="AN10" s="189"/>
    </row>
    <row r="11" spans="1:60" s="155" customFormat="1" ht="15" x14ac:dyDescent="0.25">
      <c r="A11" s="3571"/>
      <c r="B11" s="3571"/>
      <c r="C11" s="3070"/>
      <c r="D11" s="3071"/>
      <c r="E11" s="190">
        <v>1</v>
      </c>
      <c r="F11" s="191" t="s">
        <v>130</v>
      </c>
      <c r="G11" s="192"/>
      <c r="H11" s="193"/>
      <c r="I11" s="191"/>
      <c r="J11" s="191"/>
      <c r="K11" s="191"/>
      <c r="L11" s="192"/>
      <c r="M11" s="193"/>
      <c r="N11" s="194"/>
      <c r="O11" s="195"/>
      <c r="P11" s="193"/>
      <c r="Q11" s="193"/>
      <c r="R11" s="193"/>
      <c r="S11" s="196"/>
      <c r="T11" s="197"/>
      <c r="U11" s="192"/>
      <c r="V11" s="191"/>
      <c r="W11" s="191"/>
      <c r="X11" s="191"/>
      <c r="Y11" s="191"/>
      <c r="Z11" s="191"/>
      <c r="AA11" s="191"/>
      <c r="AB11" s="191"/>
      <c r="AC11" s="191"/>
      <c r="AD11" s="191"/>
      <c r="AE11" s="191"/>
      <c r="AF11" s="191"/>
      <c r="AG11" s="191"/>
      <c r="AH11" s="191"/>
      <c r="AI11" s="191"/>
      <c r="AJ11" s="191"/>
      <c r="AK11" s="191"/>
      <c r="AL11" s="198"/>
      <c r="AM11" s="198"/>
      <c r="AN11" s="199"/>
    </row>
    <row r="12" spans="1:60" s="155" customFormat="1" ht="21.75" customHeight="1" x14ac:dyDescent="0.25">
      <c r="A12" s="3571"/>
      <c r="B12" s="3571"/>
      <c r="C12" s="3572"/>
      <c r="D12" s="3074"/>
      <c r="E12" s="3573"/>
      <c r="F12" s="3574"/>
      <c r="G12" s="3557">
        <v>1</v>
      </c>
      <c r="H12" s="3097" t="s">
        <v>131</v>
      </c>
      <c r="I12" s="3097" t="s">
        <v>132</v>
      </c>
      <c r="J12" s="3557">
        <v>1</v>
      </c>
      <c r="K12" s="3556" t="s">
        <v>133</v>
      </c>
      <c r="L12" s="3558" t="s">
        <v>134</v>
      </c>
      <c r="M12" s="3097" t="s">
        <v>135</v>
      </c>
      <c r="N12" s="3561">
        <f>+(S12+S13)/O12</f>
        <v>7.0570319609263285E-2</v>
      </c>
      <c r="O12" s="3563">
        <v>134617500</v>
      </c>
      <c r="P12" s="3097" t="s">
        <v>136</v>
      </c>
      <c r="Q12" s="3097" t="s">
        <v>137</v>
      </c>
      <c r="R12" s="200" t="s">
        <v>138</v>
      </c>
      <c r="S12" s="201">
        <v>4500000</v>
      </c>
      <c r="T12" s="202">
        <v>20</v>
      </c>
      <c r="U12" s="203" t="s">
        <v>139</v>
      </c>
      <c r="V12" s="3597">
        <v>35373</v>
      </c>
      <c r="W12" s="3558">
        <v>33985</v>
      </c>
      <c r="X12" s="3558">
        <v>16632</v>
      </c>
      <c r="Y12" s="3558">
        <v>3361</v>
      </c>
      <c r="Z12" s="3558">
        <v>39432</v>
      </c>
      <c r="AA12" s="3558">
        <v>9933</v>
      </c>
      <c r="AB12" s="3558"/>
      <c r="AC12" s="3558"/>
      <c r="AD12" s="3558"/>
      <c r="AE12" s="3558"/>
      <c r="AF12" s="3558"/>
      <c r="AG12" s="3558"/>
      <c r="AH12" s="3558"/>
      <c r="AI12" s="3558"/>
      <c r="AJ12" s="3558"/>
      <c r="AK12" s="3558">
        <f>V12+W12</f>
        <v>69358</v>
      </c>
      <c r="AL12" s="3595">
        <v>43466</v>
      </c>
      <c r="AM12" s="3595">
        <v>43830</v>
      </c>
      <c r="AN12" s="3588" t="s">
        <v>140</v>
      </c>
    </row>
    <row r="13" spans="1:60" s="155" customFormat="1" ht="21.75" customHeight="1" x14ac:dyDescent="0.25">
      <c r="A13" s="3571"/>
      <c r="B13" s="3571"/>
      <c r="C13" s="3572"/>
      <c r="D13" s="3074"/>
      <c r="E13" s="3118"/>
      <c r="F13" s="3575"/>
      <c r="G13" s="3578"/>
      <c r="H13" s="3098"/>
      <c r="I13" s="3098"/>
      <c r="J13" s="3578"/>
      <c r="K13" s="3556"/>
      <c r="L13" s="3558"/>
      <c r="M13" s="3560"/>
      <c r="N13" s="3562"/>
      <c r="O13" s="3563"/>
      <c r="P13" s="3560"/>
      <c r="Q13" s="3560"/>
      <c r="R13" s="204" t="s">
        <v>141</v>
      </c>
      <c r="S13" s="205">
        <v>5000000</v>
      </c>
      <c r="T13" s="206">
        <v>20</v>
      </c>
      <c r="U13" s="207" t="s">
        <v>139</v>
      </c>
      <c r="V13" s="3597"/>
      <c r="W13" s="3558"/>
      <c r="X13" s="3558"/>
      <c r="Y13" s="3558"/>
      <c r="Z13" s="3558"/>
      <c r="AA13" s="3558"/>
      <c r="AB13" s="3558"/>
      <c r="AC13" s="3558"/>
      <c r="AD13" s="3558"/>
      <c r="AE13" s="3558"/>
      <c r="AF13" s="3558"/>
      <c r="AG13" s="3558"/>
      <c r="AH13" s="3558"/>
      <c r="AI13" s="3558"/>
      <c r="AJ13" s="3558"/>
      <c r="AK13" s="3558"/>
      <c r="AL13" s="3595"/>
      <c r="AM13" s="3595"/>
      <c r="AN13" s="3588"/>
    </row>
    <row r="14" spans="1:60" s="155" customFormat="1" ht="42.75" x14ac:dyDescent="0.25">
      <c r="A14" s="3571"/>
      <c r="B14" s="3571"/>
      <c r="C14" s="3572"/>
      <c r="D14" s="3074"/>
      <c r="E14" s="3118"/>
      <c r="F14" s="3575"/>
      <c r="G14" s="208">
        <v>2</v>
      </c>
      <c r="H14" s="209" t="s">
        <v>142</v>
      </c>
      <c r="I14" s="209" t="s">
        <v>143</v>
      </c>
      <c r="J14" s="210">
        <v>4</v>
      </c>
      <c r="K14" s="3556"/>
      <c r="L14" s="3558"/>
      <c r="M14" s="3560"/>
      <c r="N14" s="211">
        <f>+(S14)/O12</f>
        <v>0.19982543131465078</v>
      </c>
      <c r="O14" s="3563"/>
      <c r="P14" s="3560"/>
      <c r="Q14" s="3560"/>
      <c r="R14" s="212" t="s">
        <v>144</v>
      </c>
      <c r="S14" s="201">
        <v>26900000</v>
      </c>
      <c r="T14" s="206">
        <v>20</v>
      </c>
      <c r="U14" s="208" t="s">
        <v>139</v>
      </c>
      <c r="V14" s="3597"/>
      <c r="W14" s="3558"/>
      <c r="X14" s="3558"/>
      <c r="Y14" s="3558"/>
      <c r="Z14" s="3558"/>
      <c r="AA14" s="3558"/>
      <c r="AB14" s="3558"/>
      <c r="AC14" s="3558"/>
      <c r="AD14" s="3558"/>
      <c r="AE14" s="3558"/>
      <c r="AF14" s="3558"/>
      <c r="AG14" s="3558"/>
      <c r="AH14" s="3558"/>
      <c r="AI14" s="3558"/>
      <c r="AJ14" s="3558"/>
      <c r="AK14" s="3558"/>
      <c r="AL14" s="3595"/>
      <c r="AM14" s="3595"/>
      <c r="AN14" s="3588"/>
    </row>
    <row r="15" spans="1:60" s="155" customFormat="1" ht="76.5" customHeight="1" x14ac:dyDescent="0.25">
      <c r="A15" s="3571"/>
      <c r="B15" s="3571"/>
      <c r="C15" s="3572"/>
      <c r="D15" s="3074"/>
      <c r="E15" s="3118"/>
      <c r="F15" s="3575"/>
      <c r="G15" s="208">
        <v>3</v>
      </c>
      <c r="H15" s="209" t="s">
        <v>145</v>
      </c>
      <c r="I15" s="209" t="s">
        <v>146</v>
      </c>
      <c r="J15" s="210">
        <v>1</v>
      </c>
      <c r="K15" s="3556"/>
      <c r="L15" s="3558"/>
      <c r="M15" s="3560"/>
      <c r="N15" s="211">
        <f>+(S15)/O12</f>
        <v>0.15228332126209446</v>
      </c>
      <c r="O15" s="3563"/>
      <c r="P15" s="3560"/>
      <c r="Q15" s="3589" t="s">
        <v>147</v>
      </c>
      <c r="R15" s="212" t="s">
        <v>148</v>
      </c>
      <c r="S15" s="205">
        <v>20500000</v>
      </c>
      <c r="T15" s="213">
        <v>20</v>
      </c>
      <c r="U15" s="214" t="s">
        <v>139</v>
      </c>
      <c r="V15" s="3597"/>
      <c r="W15" s="3558"/>
      <c r="X15" s="3558"/>
      <c r="Y15" s="3558"/>
      <c r="Z15" s="3558"/>
      <c r="AA15" s="3558"/>
      <c r="AB15" s="3558"/>
      <c r="AC15" s="3558"/>
      <c r="AD15" s="3558"/>
      <c r="AE15" s="3558"/>
      <c r="AF15" s="3558"/>
      <c r="AG15" s="3558"/>
      <c r="AH15" s="3558"/>
      <c r="AI15" s="3558"/>
      <c r="AJ15" s="3558"/>
      <c r="AK15" s="3558"/>
      <c r="AL15" s="3595"/>
      <c r="AM15" s="3595"/>
      <c r="AN15" s="3588"/>
    </row>
    <row r="16" spans="1:60" s="155" customFormat="1" ht="71.25" x14ac:dyDescent="0.25">
      <c r="A16" s="3571"/>
      <c r="B16" s="3571"/>
      <c r="C16" s="3572"/>
      <c r="D16" s="3074"/>
      <c r="E16" s="3118"/>
      <c r="F16" s="3575"/>
      <c r="G16" s="208">
        <v>4</v>
      </c>
      <c r="H16" s="209" t="s">
        <v>149</v>
      </c>
      <c r="I16" s="209" t="s">
        <v>150</v>
      </c>
      <c r="J16" s="210">
        <v>1</v>
      </c>
      <c r="K16" s="3556"/>
      <c r="L16" s="3558"/>
      <c r="M16" s="3560"/>
      <c r="N16" s="211">
        <f>+(S16)/O12</f>
        <v>0.49399223726484298</v>
      </c>
      <c r="O16" s="3563"/>
      <c r="P16" s="3560"/>
      <c r="Q16" s="3589"/>
      <c r="R16" s="212" t="s">
        <v>151</v>
      </c>
      <c r="S16" s="205">
        <v>66500000</v>
      </c>
      <c r="T16" s="213">
        <v>20</v>
      </c>
      <c r="U16" s="214" t="s">
        <v>139</v>
      </c>
      <c r="V16" s="3597"/>
      <c r="W16" s="3558"/>
      <c r="X16" s="3558"/>
      <c r="Y16" s="3558"/>
      <c r="Z16" s="3558"/>
      <c r="AA16" s="3558"/>
      <c r="AB16" s="3558"/>
      <c r="AC16" s="3558"/>
      <c r="AD16" s="3558"/>
      <c r="AE16" s="3558"/>
      <c r="AF16" s="3558"/>
      <c r="AG16" s="3558"/>
      <c r="AH16" s="3558"/>
      <c r="AI16" s="3558"/>
      <c r="AJ16" s="3558"/>
      <c r="AK16" s="3558"/>
      <c r="AL16" s="3595"/>
      <c r="AM16" s="3595"/>
      <c r="AN16" s="3588"/>
    </row>
    <row r="17" spans="1:40" s="155" customFormat="1" ht="85.5" customHeight="1" x14ac:dyDescent="0.25">
      <c r="A17" s="3571"/>
      <c r="B17" s="3571"/>
      <c r="C17" s="3572"/>
      <c r="D17" s="3074"/>
      <c r="E17" s="3576"/>
      <c r="F17" s="3577"/>
      <c r="G17" s="215">
        <v>6</v>
      </c>
      <c r="H17" s="216" t="s">
        <v>152</v>
      </c>
      <c r="I17" s="216" t="s">
        <v>153</v>
      </c>
      <c r="J17" s="210">
        <v>12</v>
      </c>
      <c r="K17" s="3557"/>
      <c r="L17" s="3559"/>
      <c r="M17" s="3098"/>
      <c r="N17" s="211">
        <f>+S17/O12</f>
        <v>8.3328690549148515E-2</v>
      </c>
      <c r="O17" s="3136"/>
      <c r="P17" s="3560"/>
      <c r="Q17" s="3097"/>
      <c r="R17" s="217" t="s">
        <v>154</v>
      </c>
      <c r="S17" s="218">
        <v>11217500</v>
      </c>
      <c r="T17" s="219">
        <v>20</v>
      </c>
      <c r="U17" s="220" t="s">
        <v>139</v>
      </c>
      <c r="V17" s="3598"/>
      <c r="W17" s="3559"/>
      <c r="X17" s="3559"/>
      <c r="Y17" s="3559"/>
      <c r="Z17" s="3559"/>
      <c r="AA17" s="3559"/>
      <c r="AB17" s="3559"/>
      <c r="AC17" s="3559"/>
      <c r="AD17" s="3559"/>
      <c r="AE17" s="3559"/>
      <c r="AF17" s="3559"/>
      <c r="AG17" s="3559"/>
      <c r="AH17" s="3559"/>
      <c r="AI17" s="3559"/>
      <c r="AJ17" s="3559"/>
      <c r="AK17" s="3559"/>
      <c r="AL17" s="3596"/>
      <c r="AM17" s="3596"/>
      <c r="AN17" s="3192"/>
    </row>
    <row r="18" spans="1:40" s="155" customFormat="1" ht="24" customHeight="1" x14ac:dyDescent="0.25">
      <c r="A18" s="3571"/>
      <c r="B18" s="3571"/>
      <c r="C18" s="3572"/>
      <c r="D18" s="3074"/>
      <c r="E18" s="221">
        <v>2</v>
      </c>
      <c r="F18" s="3590" t="s">
        <v>155</v>
      </c>
      <c r="G18" s="3591"/>
      <c r="H18" s="3591"/>
      <c r="I18" s="3592"/>
      <c r="J18" s="222"/>
      <c r="K18" s="222"/>
      <c r="L18" s="222"/>
      <c r="M18" s="223"/>
      <c r="N18" s="224"/>
      <c r="O18" s="225"/>
      <c r="P18" s="223"/>
      <c r="Q18" s="223"/>
      <c r="R18" s="223"/>
      <c r="S18" s="226"/>
      <c r="T18" s="227"/>
      <c r="U18" s="228"/>
      <c r="V18" s="229"/>
      <c r="W18" s="230"/>
      <c r="X18" s="230"/>
      <c r="Y18" s="230"/>
      <c r="Z18" s="230"/>
      <c r="AA18" s="230"/>
      <c r="AB18" s="231"/>
      <c r="AC18" s="231"/>
      <c r="AD18" s="231"/>
      <c r="AE18" s="232"/>
      <c r="AF18" s="232"/>
      <c r="AG18" s="232"/>
      <c r="AH18" s="231"/>
      <c r="AI18" s="231"/>
      <c r="AJ18" s="230"/>
      <c r="AK18" s="233"/>
      <c r="AL18" s="234"/>
      <c r="AM18" s="234"/>
      <c r="AN18" s="235"/>
    </row>
    <row r="19" spans="1:40" s="155" customFormat="1" ht="28.5" x14ac:dyDescent="0.25">
      <c r="A19" s="3571"/>
      <c r="B19" s="3571"/>
      <c r="C19" s="3572"/>
      <c r="D19" s="3074"/>
      <c r="E19" s="3556"/>
      <c r="F19" s="3556"/>
      <c r="G19" s="220">
        <v>7</v>
      </c>
      <c r="H19" s="216" t="s">
        <v>156</v>
      </c>
      <c r="I19" s="236" t="s">
        <v>157</v>
      </c>
      <c r="J19" s="210">
        <v>1</v>
      </c>
      <c r="K19" s="3556" t="s">
        <v>158</v>
      </c>
      <c r="L19" s="3557" t="s">
        <v>159</v>
      </c>
      <c r="M19" s="3097" t="s">
        <v>160</v>
      </c>
      <c r="N19" s="237">
        <f>+S19/O19</f>
        <v>0.79984028770363513</v>
      </c>
      <c r="O19" s="3136">
        <v>158373529</v>
      </c>
      <c r="P19" s="3593" t="s">
        <v>161</v>
      </c>
      <c r="Q19" s="3593" t="s">
        <v>162</v>
      </c>
      <c r="R19" s="236" t="s">
        <v>163</v>
      </c>
      <c r="S19" s="218">
        <v>126673529</v>
      </c>
      <c r="T19" s="219">
        <v>20</v>
      </c>
      <c r="U19" s="220" t="s">
        <v>139</v>
      </c>
      <c r="V19" s="3598">
        <v>252568</v>
      </c>
      <c r="W19" s="3559">
        <v>243650</v>
      </c>
      <c r="X19" s="3559">
        <v>97896</v>
      </c>
      <c r="Y19" s="3559">
        <v>53351</v>
      </c>
      <c r="Z19" s="3559">
        <v>140316</v>
      </c>
      <c r="AA19" s="3559">
        <v>30825</v>
      </c>
      <c r="AB19" s="3559"/>
      <c r="AC19" s="3559"/>
      <c r="AD19" s="3559"/>
      <c r="AE19" s="3559"/>
      <c r="AF19" s="3559"/>
      <c r="AG19" s="3559"/>
      <c r="AH19" s="3559"/>
      <c r="AI19" s="3559"/>
      <c r="AJ19" s="3559"/>
      <c r="AK19" s="3559">
        <f>V19+W19</f>
        <v>496218</v>
      </c>
      <c r="AL19" s="3595">
        <v>43466</v>
      </c>
      <c r="AM19" s="3595">
        <v>43830</v>
      </c>
      <c r="AN19" s="3588" t="s">
        <v>140</v>
      </c>
    </row>
    <row r="20" spans="1:40" ht="85.5" x14ac:dyDescent="0.25">
      <c r="A20" s="3571"/>
      <c r="B20" s="3571"/>
      <c r="C20" s="3572"/>
      <c r="D20" s="3074"/>
      <c r="E20" s="3556"/>
      <c r="F20" s="3556"/>
      <c r="G20" s="238">
        <v>8</v>
      </c>
      <c r="H20" s="209" t="s">
        <v>164</v>
      </c>
      <c r="I20" s="209" t="s">
        <v>165</v>
      </c>
      <c r="J20" s="210">
        <v>1</v>
      </c>
      <c r="K20" s="3556"/>
      <c r="L20" s="3578"/>
      <c r="M20" s="3098"/>
      <c r="N20" s="239">
        <f>+S20/O19</f>
        <v>0.20015971229636487</v>
      </c>
      <c r="O20" s="3138"/>
      <c r="P20" s="3594"/>
      <c r="Q20" s="3594"/>
      <c r="R20" s="209" t="s">
        <v>166</v>
      </c>
      <c r="S20" s="240">
        <v>31700000</v>
      </c>
      <c r="T20" s="241">
        <v>20</v>
      </c>
      <c r="U20" s="242" t="s">
        <v>139</v>
      </c>
      <c r="V20" s="3600"/>
      <c r="W20" s="3599"/>
      <c r="X20" s="3599"/>
      <c r="Y20" s="3599"/>
      <c r="Z20" s="3599"/>
      <c r="AA20" s="3599"/>
      <c r="AB20" s="3599"/>
      <c r="AC20" s="3599"/>
      <c r="AD20" s="3599"/>
      <c r="AE20" s="3599"/>
      <c r="AF20" s="3599"/>
      <c r="AG20" s="3599"/>
      <c r="AH20" s="3599"/>
      <c r="AI20" s="3599"/>
      <c r="AJ20" s="3599"/>
      <c r="AK20" s="3599"/>
      <c r="AL20" s="3595"/>
      <c r="AM20" s="3595"/>
      <c r="AN20" s="3588"/>
    </row>
    <row r="21" spans="1:40" ht="15" x14ac:dyDescent="0.25">
      <c r="A21" s="3571"/>
      <c r="B21" s="3571"/>
      <c r="C21" s="3572"/>
      <c r="D21" s="3074"/>
      <c r="E21" s="243">
        <v>3</v>
      </c>
      <c r="F21" s="244" t="s">
        <v>167</v>
      </c>
      <c r="G21" s="245"/>
      <c r="H21" s="246"/>
      <c r="I21" s="247"/>
      <c r="J21" s="247"/>
      <c r="K21" s="248"/>
      <c r="L21" s="245"/>
      <c r="M21" s="246"/>
      <c r="N21" s="249"/>
      <c r="O21" s="250"/>
      <c r="P21" s="251"/>
      <c r="Q21" s="251"/>
      <c r="R21" s="251"/>
      <c r="S21" s="252"/>
      <c r="T21" s="253"/>
      <c r="U21" s="245"/>
      <c r="V21" s="247"/>
      <c r="W21" s="247"/>
      <c r="X21" s="247"/>
      <c r="Y21" s="247"/>
      <c r="Z21" s="247"/>
      <c r="AA21" s="247"/>
      <c r="AB21" s="247"/>
      <c r="AC21" s="247"/>
      <c r="AD21" s="247"/>
      <c r="AE21" s="247"/>
      <c r="AF21" s="247"/>
      <c r="AG21" s="247"/>
      <c r="AH21" s="247"/>
      <c r="AI21" s="247"/>
      <c r="AJ21" s="247"/>
      <c r="AK21" s="247"/>
      <c r="AL21" s="254"/>
      <c r="AM21" s="254"/>
      <c r="AN21" s="255"/>
    </row>
    <row r="22" spans="1:40" ht="28.5" x14ac:dyDescent="0.25">
      <c r="A22" s="3571"/>
      <c r="B22" s="3571"/>
      <c r="C22" s="3572"/>
      <c r="D22" s="3074"/>
      <c r="E22" s="3604"/>
      <c r="F22" s="3605"/>
      <c r="G22" s="3274">
        <v>14</v>
      </c>
      <c r="H22" s="3116" t="s">
        <v>168</v>
      </c>
      <c r="I22" s="3601" t="s">
        <v>169</v>
      </c>
      <c r="J22" s="3608">
        <v>6</v>
      </c>
      <c r="K22" s="3610" t="s">
        <v>170</v>
      </c>
      <c r="L22" s="3557" t="s">
        <v>171</v>
      </c>
      <c r="M22" s="3614" t="s">
        <v>172</v>
      </c>
      <c r="N22" s="3620">
        <f>+(S22+S23)/O22</f>
        <v>0.32708905525881032</v>
      </c>
      <c r="O22" s="3621">
        <v>817514361</v>
      </c>
      <c r="P22" s="3601" t="s">
        <v>173</v>
      </c>
      <c r="Q22" s="3601" t="s">
        <v>137</v>
      </c>
      <c r="R22" s="204" t="s">
        <v>174</v>
      </c>
      <c r="S22" s="256">
        <v>133700000</v>
      </c>
      <c r="T22" s="257">
        <v>20</v>
      </c>
      <c r="U22" s="258" t="s">
        <v>175</v>
      </c>
      <c r="V22" s="3275">
        <v>35373</v>
      </c>
      <c r="W22" s="3275">
        <v>33985</v>
      </c>
      <c r="X22" s="3275">
        <v>16632</v>
      </c>
      <c r="Y22" s="3275">
        <v>3361</v>
      </c>
      <c r="Z22" s="3275">
        <v>39432</v>
      </c>
      <c r="AA22" s="3275">
        <v>9933</v>
      </c>
      <c r="AB22" s="3275"/>
      <c r="AC22" s="3275"/>
      <c r="AD22" s="3275"/>
      <c r="AE22" s="3275"/>
      <c r="AF22" s="3275"/>
      <c r="AG22" s="3275"/>
      <c r="AH22" s="3275"/>
      <c r="AI22" s="3275"/>
      <c r="AJ22" s="3275"/>
      <c r="AK22" s="3275">
        <f>V22+W22</f>
        <v>69358</v>
      </c>
      <c r="AL22" s="3596">
        <v>43466</v>
      </c>
      <c r="AM22" s="3596">
        <v>43830</v>
      </c>
      <c r="AN22" s="3192" t="s">
        <v>140</v>
      </c>
    </row>
    <row r="23" spans="1:40" ht="42.75" x14ac:dyDescent="0.25">
      <c r="A23" s="3571"/>
      <c r="B23" s="3571"/>
      <c r="C23" s="3572"/>
      <c r="D23" s="3074"/>
      <c r="E23" s="3606"/>
      <c r="F23" s="3607"/>
      <c r="G23" s="3274"/>
      <c r="H23" s="3116"/>
      <c r="I23" s="3603"/>
      <c r="J23" s="3609"/>
      <c r="K23" s="3611"/>
      <c r="L23" s="3613"/>
      <c r="M23" s="3615"/>
      <c r="N23" s="3620"/>
      <c r="O23" s="3622"/>
      <c r="P23" s="3602"/>
      <c r="Q23" s="3602"/>
      <c r="R23" s="204" t="s">
        <v>176</v>
      </c>
      <c r="S23" s="256">
        <v>133700000</v>
      </c>
      <c r="T23" s="257">
        <v>20</v>
      </c>
      <c r="U23" s="258" t="s">
        <v>175</v>
      </c>
      <c r="V23" s="3276"/>
      <c r="W23" s="3276"/>
      <c r="X23" s="3276"/>
      <c r="Y23" s="3276"/>
      <c r="Z23" s="3276"/>
      <c r="AA23" s="3276"/>
      <c r="AB23" s="3276"/>
      <c r="AC23" s="3276"/>
      <c r="AD23" s="3276"/>
      <c r="AE23" s="3276"/>
      <c r="AF23" s="3276"/>
      <c r="AG23" s="3276"/>
      <c r="AH23" s="3276"/>
      <c r="AI23" s="3276"/>
      <c r="AJ23" s="3276"/>
      <c r="AK23" s="3276"/>
      <c r="AL23" s="3617"/>
      <c r="AM23" s="3617"/>
      <c r="AN23" s="3193"/>
    </row>
    <row r="24" spans="1:40" ht="71.25" x14ac:dyDescent="0.25">
      <c r="A24" s="3571"/>
      <c r="B24" s="3571"/>
      <c r="C24" s="3572"/>
      <c r="D24" s="3074"/>
      <c r="E24" s="3606"/>
      <c r="F24" s="3607"/>
      <c r="G24" s="238">
        <v>17</v>
      </c>
      <c r="H24" s="259" t="s">
        <v>177</v>
      </c>
      <c r="I24" s="209" t="s">
        <v>178</v>
      </c>
      <c r="J24" s="210">
        <v>270</v>
      </c>
      <c r="K24" s="3612"/>
      <c r="L24" s="3578"/>
      <c r="M24" s="3616"/>
      <c r="N24" s="260">
        <f>S24/O22</f>
        <v>0.67291094474118973</v>
      </c>
      <c r="O24" s="3623"/>
      <c r="P24" s="3603"/>
      <c r="Q24" s="3603"/>
      <c r="R24" s="204" t="s">
        <v>179</v>
      </c>
      <c r="S24" s="256">
        <v>550114361</v>
      </c>
      <c r="T24" s="257">
        <v>20</v>
      </c>
      <c r="U24" s="258" t="s">
        <v>175</v>
      </c>
      <c r="V24" s="3277"/>
      <c r="W24" s="3277"/>
      <c r="X24" s="3277"/>
      <c r="Y24" s="3277"/>
      <c r="Z24" s="3277"/>
      <c r="AA24" s="3277"/>
      <c r="AB24" s="3277"/>
      <c r="AC24" s="3277"/>
      <c r="AD24" s="3277"/>
      <c r="AE24" s="3277"/>
      <c r="AF24" s="3277"/>
      <c r="AG24" s="3277"/>
      <c r="AH24" s="3277"/>
      <c r="AI24" s="3277"/>
      <c r="AJ24" s="3277"/>
      <c r="AK24" s="3277"/>
      <c r="AL24" s="3618"/>
      <c r="AM24" s="3618"/>
      <c r="AN24" s="3194"/>
    </row>
    <row r="25" spans="1:40" ht="57" x14ac:dyDescent="0.25">
      <c r="A25" s="3571"/>
      <c r="B25" s="3571"/>
      <c r="C25" s="3572"/>
      <c r="D25" s="3074"/>
      <c r="E25" s="3606"/>
      <c r="F25" s="3607"/>
      <c r="G25" s="238">
        <v>15</v>
      </c>
      <c r="H25" s="209" t="s">
        <v>180</v>
      </c>
      <c r="I25" s="209" t="s">
        <v>181</v>
      </c>
      <c r="J25" s="261">
        <v>2</v>
      </c>
      <c r="K25" s="3557" t="s">
        <v>182</v>
      </c>
      <c r="L25" s="3557" t="s">
        <v>183</v>
      </c>
      <c r="M25" s="3221" t="s">
        <v>184</v>
      </c>
      <c r="N25" s="262">
        <f>S25/O25</f>
        <v>0.28450497361810312</v>
      </c>
      <c r="O25" s="3216">
        <f>SUM(S25:S29)</f>
        <v>63061235</v>
      </c>
      <c r="P25" s="3097" t="s">
        <v>185</v>
      </c>
      <c r="Q25" s="3097" t="s">
        <v>186</v>
      </c>
      <c r="R25" s="263" t="s">
        <v>187</v>
      </c>
      <c r="S25" s="264">
        <v>17941235</v>
      </c>
      <c r="T25" s="241">
        <v>20</v>
      </c>
      <c r="U25" s="208" t="s">
        <v>175</v>
      </c>
      <c r="V25" s="3275">
        <v>40906</v>
      </c>
      <c r="W25" s="3275">
        <v>37728</v>
      </c>
      <c r="X25" s="3275">
        <v>16790</v>
      </c>
      <c r="Y25" s="3275">
        <v>8871</v>
      </c>
      <c r="Z25" s="3275">
        <v>46240</v>
      </c>
      <c r="AA25" s="3275">
        <v>10814</v>
      </c>
      <c r="AB25" s="3275"/>
      <c r="AC25" s="3275"/>
      <c r="AD25" s="3275"/>
      <c r="AE25" s="3275"/>
      <c r="AF25" s="3275"/>
      <c r="AG25" s="3275"/>
      <c r="AH25" s="3275"/>
      <c r="AI25" s="3275"/>
      <c r="AJ25" s="3275"/>
      <c r="AK25" s="3275">
        <f>V25+W25</f>
        <v>78634</v>
      </c>
      <c r="AL25" s="3596">
        <v>43466</v>
      </c>
      <c r="AM25" s="3596">
        <v>43830</v>
      </c>
      <c r="AN25" s="3192" t="s">
        <v>140</v>
      </c>
    </row>
    <row r="26" spans="1:40" ht="71.25" x14ac:dyDescent="0.25">
      <c r="A26" s="3571"/>
      <c r="B26" s="3571"/>
      <c r="C26" s="3572"/>
      <c r="D26" s="3074"/>
      <c r="E26" s="3606"/>
      <c r="F26" s="3607"/>
      <c r="G26" s="238">
        <v>16</v>
      </c>
      <c r="H26" s="209" t="s">
        <v>188</v>
      </c>
      <c r="I26" s="209" t="s">
        <v>189</v>
      </c>
      <c r="J26" s="265">
        <v>5</v>
      </c>
      <c r="K26" s="3613"/>
      <c r="L26" s="3613"/>
      <c r="M26" s="3619"/>
      <c r="N26" s="262">
        <f>S26/O25</f>
        <v>0.15064722408306783</v>
      </c>
      <c r="O26" s="3217"/>
      <c r="P26" s="3560"/>
      <c r="Q26" s="3560"/>
      <c r="R26" s="266" t="s">
        <v>190</v>
      </c>
      <c r="S26" s="264">
        <v>9500000</v>
      </c>
      <c r="T26" s="241">
        <v>20</v>
      </c>
      <c r="U26" s="208" t="s">
        <v>175</v>
      </c>
      <c r="V26" s="3276"/>
      <c r="W26" s="3276"/>
      <c r="X26" s="3276"/>
      <c r="Y26" s="3276"/>
      <c r="Z26" s="3276"/>
      <c r="AA26" s="3276"/>
      <c r="AB26" s="3276"/>
      <c r="AC26" s="3276"/>
      <c r="AD26" s="3276"/>
      <c r="AE26" s="3276"/>
      <c r="AF26" s="3276"/>
      <c r="AG26" s="3276"/>
      <c r="AH26" s="3276"/>
      <c r="AI26" s="3276"/>
      <c r="AJ26" s="3276"/>
      <c r="AK26" s="3276"/>
      <c r="AL26" s="3617"/>
      <c r="AM26" s="3617"/>
      <c r="AN26" s="3193"/>
    </row>
    <row r="27" spans="1:40" ht="42.75" x14ac:dyDescent="0.25">
      <c r="A27" s="3571"/>
      <c r="B27" s="3571"/>
      <c r="C27" s="3572"/>
      <c r="D27" s="3074"/>
      <c r="E27" s="3606"/>
      <c r="F27" s="3607"/>
      <c r="G27" s="238">
        <v>18</v>
      </c>
      <c r="H27" s="209" t="s">
        <v>191</v>
      </c>
      <c r="I27" s="209" t="s">
        <v>192</v>
      </c>
      <c r="J27" s="265">
        <v>10</v>
      </c>
      <c r="K27" s="3613"/>
      <c r="L27" s="3613"/>
      <c r="M27" s="3619"/>
      <c r="N27" s="262">
        <f>S27/O25</f>
        <v>0.21598054652751408</v>
      </c>
      <c r="O27" s="3217"/>
      <c r="P27" s="3560"/>
      <c r="Q27" s="3560"/>
      <c r="R27" s="266" t="s">
        <v>193</v>
      </c>
      <c r="S27" s="264">
        <v>13620000</v>
      </c>
      <c r="T27" s="241">
        <v>20</v>
      </c>
      <c r="U27" s="208" t="s">
        <v>175</v>
      </c>
      <c r="V27" s="3276"/>
      <c r="W27" s="3276"/>
      <c r="X27" s="3276"/>
      <c r="Y27" s="3276"/>
      <c r="Z27" s="3276"/>
      <c r="AA27" s="3276"/>
      <c r="AB27" s="3276"/>
      <c r="AC27" s="3276"/>
      <c r="AD27" s="3276"/>
      <c r="AE27" s="3276"/>
      <c r="AF27" s="3276"/>
      <c r="AG27" s="3276"/>
      <c r="AH27" s="3276"/>
      <c r="AI27" s="3276"/>
      <c r="AJ27" s="3276"/>
      <c r="AK27" s="3276"/>
      <c r="AL27" s="3617"/>
      <c r="AM27" s="3617"/>
      <c r="AN27" s="3193"/>
    </row>
    <row r="28" spans="1:40" ht="71.25" x14ac:dyDescent="0.25">
      <c r="A28" s="3571"/>
      <c r="B28" s="3571"/>
      <c r="C28" s="3572"/>
      <c r="D28" s="3074"/>
      <c r="E28" s="3606"/>
      <c r="F28" s="3607"/>
      <c r="G28" s="238">
        <v>19</v>
      </c>
      <c r="H28" s="209" t="s">
        <v>194</v>
      </c>
      <c r="I28" s="209" t="s">
        <v>195</v>
      </c>
      <c r="J28" s="265">
        <v>8</v>
      </c>
      <c r="K28" s="3613"/>
      <c r="L28" s="3613"/>
      <c r="M28" s="3619"/>
      <c r="N28" s="262">
        <f>S28/O25</f>
        <v>0.1744336278856575</v>
      </c>
      <c r="O28" s="3217"/>
      <c r="P28" s="3560"/>
      <c r="Q28" s="3560"/>
      <c r="R28" s="267" t="s">
        <v>196</v>
      </c>
      <c r="S28" s="264">
        <v>11000000</v>
      </c>
      <c r="T28" s="241">
        <v>20</v>
      </c>
      <c r="U28" s="208" t="s">
        <v>175</v>
      </c>
      <c r="V28" s="3276"/>
      <c r="W28" s="3276"/>
      <c r="X28" s="3276"/>
      <c r="Y28" s="3276"/>
      <c r="Z28" s="3276"/>
      <c r="AA28" s="3276"/>
      <c r="AB28" s="3276"/>
      <c r="AC28" s="3276"/>
      <c r="AD28" s="3276"/>
      <c r="AE28" s="3276"/>
      <c r="AF28" s="3276"/>
      <c r="AG28" s="3276"/>
      <c r="AH28" s="3276"/>
      <c r="AI28" s="3276"/>
      <c r="AJ28" s="3276"/>
      <c r="AK28" s="3276"/>
      <c r="AL28" s="3617"/>
      <c r="AM28" s="3617"/>
      <c r="AN28" s="3193"/>
    </row>
    <row r="29" spans="1:40" ht="75" x14ac:dyDescent="0.25">
      <c r="A29" s="3571"/>
      <c r="B29" s="3571"/>
      <c r="C29" s="3572"/>
      <c r="D29" s="3074"/>
      <c r="E29" s="3606"/>
      <c r="F29" s="3607"/>
      <c r="G29" s="268">
        <v>20</v>
      </c>
      <c r="H29" s="269" t="s">
        <v>197</v>
      </c>
      <c r="I29" s="216" t="s">
        <v>198</v>
      </c>
      <c r="J29" s="265">
        <v>60</v>
      </c>
      <c r="K29" s="3613"/>
      <c r="L29" s="3613"/>
      <c r="M29" s="3222"/>
      <c r="N29" s="270">
        <f>S29/O25</f>
        <v>0.1744336278856575</v>
      </c>
      <c r="O29" s="3217"/>
      <c r="P29" s="3560"/>
      <c r="Q29" s="3560"/>
      <c r="R29" s="216" t="s">
        <v>199</v>
      </c>
      <c r="S29" s="271">
        <v>11000000</v>
      </c>
      <c r="T29" s="272">
        <v>20</v>
      </c>
      <c r="U29" s="215" t="s">
        <v>175</v>
      </c>
      <c r="V29" s="3276"/>
      <c r="W29" s="3276"/>
      <c r="X29" s="3276"/>
      <c r="Y29" s="3276"/>
      <c r="Z29" s="3276"/>
      <c r="AA29" s="3276"/>
      <c r="AB29" s="3276"/>
      <c r="AC29" s="3276"/>
      <c r="AD29" s="3276"/>
      <c r="AE29" s="3276"/>
      <c r="AF29" s="3276"/>
      <c r="AG29" s="3276"/>
      <c r="AH29" s="3276"/>
      <c r="AI29" s="3276"/>
      <c r="AJ29" s="3276"/>
      <c r="AK29" s="3276"/>
      <c r="AL29" s="3617"/>
      <c r="AM29" s="3617"/>
      <c r="AN29" s="3193"/>
    </row>
    <row r="30" spans="1:40" ht="15" x14ac:dyDescent="0.25">
      <c r="A30" s="273">
        <v>2</v>
      </c>
      <c r="B30" s="274" t="s">
        <v>200</v>
      </c>
      <c r="C30" s="275"/>
      <c r="D30" s="275"/>
      <c r="E30" s="275"/>
      <c r="F30" s="275"/>
      <c r="G30" s="276"/>
      <c r="H30" s="277"/>
      <c r="I30" s="278"/>
      <c r="J30" s="278"/>
      <c r="K30" s="278"/>
      <c r="L30" s="279"/>
      <c r="M30" s="277"/>
      <c r="N30" s="280"/>
      <c r="O30" s="281"/>
      <c r="P30" s="277"/>
      <c r="Q30" s="277"/>
      <c r="R30" s="277"/>
      <c r="S30" s="282"/>
      <c r="T30" s="283"/>
      <c r="U30" s="279"/>
      <c r="V30" s="278"/>
      <c r="W30" s="278"/>
      <c r="X30" s="278"/>
      <c r="Y30" s="278"/>
      <c r="Z30" s="278"/>
      <c r="AA30" s="278"/>
      <c r="AB30" s="278"/>
      <c r="AC30" s="278"/>
      <c r="AD30" s="278"/>
      <c r="AE30" s="278"/>
      <c r="AF30" s="278"/>
      <c r="AG30" s="278"/>
      <c r="AH30" s="278"/>
      <c r="AI30" s="278"/>
      <c r="AJ30" s="278"/>
      <c r="AK30" s="278"/>
      <c r="AL30" s="284"/>
      <c r="AM30" s="285"/>
      <c r="AN30" s="286"/>
    </row>
    <row r="31" spans="1:40" ht="15" x14ac:dyDescent="0.25">
      <c r="A31" s="3624"/>
      <c r="B31" s="3625"/>
      <c r="C31" s="287">
        <v>2</v>
      </c>
      <c r="D31" s="181" t="s">
        <v>201</v>
      </c>
      <c r="E31" s="181"/>
      <c r="F31" s="181"/>
      <c r="G31" s="288"/>
      <c r="H31" s="289"/>
      <c r="I31" s="290"/>
      <c r="J31" s="290"/>
      <c r="K31" s="290"/>
      <c r="L31" s="291"/>
      <c r="M31" s="289"/>
      <c r="N31" s="292"/>
      <c r="O31" s="293"/>
      <c r="P31" s="289"/>
      <c r="Q31" s="289"/>
      <c r="R31" s="289"/>
      <c r="S31" s="294"/>
      <c r="T31" s="295"/>
      <c r="U31" s="291"/>
      <c r="V31" s="290"/>
      <c r="W31" s="290"/>
      <c r="X31" s="290"/>
      <c r="Y31" s="290"/>
      <c r="Z31" s="290"/>
      <c r="AA31" s="290"/>
      <c r="AB31" s="290"/>
      <c r="AC31" s="290"/>
      <c r="AD31" s="290"/>
      <c r="AE31" s="290"/>
      <c r="AF31" s="290"/>
      <c r="AG31" s="290"/>
      <c r="AH31" s="290"/>
      <c r="AI31" s="290"/>
      <c r="AJ31" s="290"/>
      <c r="AK31" s="290"/>
      <c r="AL31" s="296"/>
      <c r="AM31" s="297"/>
      <c r="AN31" s="298"/>
    </row>
    <row r="32" spans="1:40" ht="15" x14ac:dyDescent="0.25">
      <c r="A32" s="3626"/>
      <c r="B32" s="3627"/>
      <c r="C32" s="3630"/>
      <c r="D32" s="3630"/>
      <c r="E32" s="243">
        <v>4</v>
      </c>
      <c r="F32" s="244" t="s">
        <v>202</v>
      </c>
      <c r="G32" s="244"/>
      <c r="H32" s="299"/>
      <c r="I32" s="191"/>
      <c r="J32" s="191"/>
      <c r="K32" s="191"/>
      <c r="L32" s="191"/>
      <c r="M32" s="300"/>
      <c r="N32" s="301"/>
      <c r="O32" s="302"/>
      <c r="P32" s="300"/>
      <c r="Q32" s="300"/>
      <c r="R32" s="300"/>
      <c r="S32" s="303"/>
      <c r="T32" s="304"/>
      <c r="U32" s="305"/>
      <c r="V32" s="306"/>
      <c r="W32" s="306"/>
      <c r="X32" s="306"/>
      <c r="Y32" s="306"/>
      <c r="Z32" s="306"/>
      <c r="AA32" s="306"/>
      <c r="AB32" s="306"/>
      <c r="AC32" s="306"/>
      <c r="AD32" s="306"/>
      <c r="AE32" s="306"/>
      <c r="AF32" s="306"/>
      <c r="AG32" s="306"/>
      <c r="AH32" s="306"/>
      <c r="AI32" s="306"/>
      <c r="AJ32" s="306"/>
      <c r="AK32" s="306"/>
      <c r="AL32" s="307"/>
      <c r="AM32" s="308"/>
      <c r="AN32" s="309"/>
    </row>
    <row r="33" spans="1:40" ht="42.75" x14ac:dyDescent="0.25">
      <c r="A33" s="3626"/>
      <c r="B33" s="3627"/>
      <c r="C33" s="3630"/>
      <c r="D33" s="3630"/>
      <c r="E33" s="3274"/>
      <c r="F33" s="3274"/>
      <c r="G33" s="3277">
        <v>21</v>
      </c>
      <c r="H33" s="3589" t="s">
        <v>203</v>
      </c>
      <c r="I33" s="3116" t="s">
        <v>204</v>
      </c>
      <c r="J33" s="3608">
        <v>100</v>
      </c>
      <c r="K33" s="3274" t="s">
        <v>205</v>
      </c>
      <c r="L33" s="3274" t="s">
        <v>206</v>
      </c>
      <c r="M33" s="3614" t="s">
        <v>207</v>
      </c>
      <c r="N33" s="3620">
        <f>+(S33+S34)/O33</f>
        <v>0.19129239751796687</v>
      </c>
      <c r="O33" s="3631">
        <v>364259118</v>
      </c>
      <c r="P33" s="3632" t="s">
        <v>208</v>
      </c>
      <c r="Q33" s="3632" t="s">
        <v>209</v>
      </c>
      <c r="R33" s="310" t="s">
        <v>210</v>
      </c>
      <c r="S33" s="256">
        <v>54000000</v>
      </c>
      <c r="T33" s="257">
        <v>20</v>
      </c>
      <c r="U33" s="258" t="s">
        <v>175</v>
      </c>
      <c r="V33" s="3274">
        <v>40</v>
      </c>
      <c r="W33" s="3274">
        <v>60</v>
      </c>
      <c r="X33" s="3274">
        <v>10</v>
      </c>
      <c r="Y33" s="3274">
        <v>20</v>
      </c>
      <c r="Z33" s="3274">
        <v>30</v>
      </c>
      <c r="AA33" s="3275">
        <v>40</v>
      </c>
      <c r="AB33" s="3275">
        <v>5</v>
      </c>
      <c r="AC33" s="3275"/>
      <c r="AD33" s="3275"/>
      <c r="AE33" s="3275"/>
      <c r="AF33" s="3275"/>
      <c r="AG33" s="3275"/>
      <c r="AH33" s="3275">
        <v>5</v>
      </c>
      <c r="AI33" s="3275"/>
      <c r="AJ33" s="3275"/>
      <c r="AK33" s="3275">
        <f>V33+W33</f>
        <v>100</v>
      </c>
      <c r="AL33" s="3643">
        <v>43466</v>
      </c>
      <c r="AM33" s="3643">
        <v>43465</v>
      </c>
      <c r="AN33" s="3610" t="s">
        <v>211</v>
      </c>
    </row>
    <row r="34" spans="1:40" ht="41.25" customHeight="1" x14ac:dyDescent="0.25">
      <c r="A34" s="3626"/>
      <c r="B34" s="3627"/>
      <c r="C34" s="3630"/>
      <c r="D34" s="3630"/>
      <c r="E34" s="3274"/>
      <c r="F34" s="3274"/>
      <c r="G34" s="3274"/>
      <c r="H34" s="3589"/>
      <c r="I34" s="3116"/>
      <c r="J34" s="3609"/>
      <c r="K34" s="3274"/>
      <c r="L34" s="3274"/>
      <c r="M34" s="3615"/>
      <c r="N34" s="3620"/>
      <c r="O34" s="3631"/>
      <c r="P34" s="3633"/>
      <c r="Q34" s="3633"/>
      <c r="R34" s="311" t="s">
        <v>212</v>
      </c>
      <c r="S34" s="240">
        <v>15680000</v>
      </c>
      <c r="T34" s="241">
        <v>20</v>
      </c>
      <c r="U34" s="208" t="s">
        <v>175</v>
      </c>
      <c r="V34" s="3274"/>
      <c r="W34" s="3274"/>
      <c r="X34" s="3274"/>
      <c r="Y34" s="3274"/>
      <c r="Z34" s="3274"/>
      <c r="AA34" s="3276"/>
      <c r="AB34" s="3276"/>
      <c r="AC34" s="3276"/>
      <c r="AD34" s="3276"/>
      <c r="AE34" s="3276"/>
      <c r="AF34" s="3276"/>
      <c r="AG34" s="3276"/>
      <c r="AH34" s="3276"/>
      <c r="AI34" s="3276"/>
      <c r="AJ34" s="3276"/>
      <c r="AK34" s="3276"/>
      <c r="AL34" s="3644"/>
      <c r="AM34" s="3644"/>
      <c r="AN34" s="3611"/>
    </row>
    <row r="35" spans="1:40" ht="99" customHeight="1" x14ac:dyDescent="0.25">
      <c r="A35" s="3626"/>
      <c r="B35" s="3627"/>
      <c r="C35" s="3630"/>
      <c r="D35" s="3630"/>
      <c r="E35" s="3274"/>
      <c r="F35" s="3274"/>
      <c r="G35" s="3274">
        <v>22</v>
      </c>
      <c r="H35" s="3589" t="s">
        <v>213</v>
      </c>
      <c r="I35" s="3116" t="s">
        <v>214</v>
      </c>
      <c r="J35" s="3608">
        <v>3</v>
      </c>
      <c r="K35" s="3274"/>
      <c r="L35" s="3274"/>
      <c r="M35" s="3615"/>
      <c r="N35" s="3635">
        <f>+(S35+S36)/O33</f>
        <v>0.12161672230261096</v>
      </c>
      <c r="O35" s="3631"/>
      <c r="P35" s="3633"/>
      <c r="Q35" s="3633"/>
      <c r="R35" s="311" t="s">
        <v>215</v>
      </c>
      <c r="S35" s="240">
        <v>30000000</v>
      </c>
      <c r="T35" s="241">
        <v>20</v>
      </c>
      <c r="U35" s="208" t="s">
        <v>175</v>
      </c>
      <c r="V35" s="3274"/>
      <c r="W35" s="3274"/>
      <c r="X35" s="3274"/>
      <c r="Y35" s="3274"/>
      <c r="Z35" s="3274"/>
      <c r="AA35" s="3276"/>
      <c r="AB35" s="3276"/>
      <c r="AC35" s="3276"/>
      <c r="AD35" s="3276"/>
      <c r="AE35" s="3276"/>
      <c r="AF35" s="3276"/>
      <c r="AG35" s="3276"/>
      <c r="AH35" s="3276"/>
      <c r="AI35" s="3276"/>
      <c r="AJ35" s="3276"/>
      <c r="AK35" s="3276"/>
      <c r="AL35" s="3644"/>
      <c r="AM35" s="3644"/>
      <c r="AN35" s="3611"/>
    </row>
    <row r="36" spans="1:40" ht="84" customHeight="1" x14ac:dyDescent="0.25">
      <c r="A36" s="3626"/>
      <c r="B36" s="3627"/>
      <c r="C36" s="3630"/>
      <c r="D36" s="3630"/>
      <c r="E36" s="3274"/>
      <c r="F36" s="3274"/>
      <c r="G36" s="3274"/>
      <c r="H36" s="3589"/>
      <c r="I36" s="3116"/>
      <c r="J36" s="3609"/>
      <c r="K36" s="3274"/>
      <c r="L36" s="3274"/>
      <c r="M36" s="3615"/>
      <c r="N36" s="3635"/>
      <c r="O36" s="3631"/>
      <c r="P36" s="3633"/>
      <c r="Q36" s="3634"/>
      <c r="R36" s="311" t="s">
        <v>216</v>
      </c>
      <c r="S36" s="240">
        <v>14300000</v>
      </c>
      <c r="T36" s="241">
        <v>20</v>
      </c>
      <c r="U36" s="208" t="s">
        <v>175</v>
      </c>
      <c r="V36" s="3274"/>
      <c r="W36" s="3274"/>
      <c r="X36" s="3274"/>
      <c r="Y36" s="3274"/>
      <c r="Z36" s="3274"/>
      <c r="AA36" s="3276"/>
      <c r="AB36" s="3276"/>
      <c r="AC36" s="3276"/>
      <c r="AD36" s="3276"/>
      <c r="AE36" s="3276"/>
      <c r="AF36" s="3276"/>
      <c r="AG36" s="3276"/>
      <c r="AH36" s="3276"/>
      <c r="AI36" s="3276"/>
      <c r="AJ36" s="3276"/>
      <c r="AK36" s="3276"/>
      <c r="AL36" s="3644"/>
      <c r="AM36" s="3644"/>
      <c r="AN36" s="3611"/>
    </row>
    <row r="37" spans="1:40" ht="42.75" x14ac:dyDescent="0.25">
      <c r="A37" s="3626"/>
      <c r="B37" s="3627"/>
      <c r="C37" s="3630"/>
      <c r="D37" s="3630"/>
      <c r="E37" s="3274"/>
      <c r="F37" s="3274"/>
      <c r="G37" s="3274">
        <v>23</v>
      </c>
      <c r="H37" s="3589" t="s">
        <v>217</v>
      </c>
      <c r="I37" s="3116" t="s">
        <v>218</v>
      </c>
      <c r="J37" s="3608">
        <v>1</v>
      </c>
      <c r="K37" s="3274"/>
      <c r="L37" s="3274"/>
      <c r="M37" s="3615"/>
      <c r="N37" s="3635">
        <f>+(S37+S38+S39)/O33</f>
        <v>0.19129239751796687</v>
      </c>
      <c r="O37" s="3631"/>
      <c r="P37" s="3633"/>
      <c r="Q37" s="3636" t="s">
        <v>219</v>
      </c>
      <c r="R37" s="311" t="s">
        <v>220</v>
      </c>
      <c r="S37" s="240">
        <v>18000000</v>
      </c>
      <c r="T37" s="241">
        <v>20</v>
      </c>
      <c r="U37" s="208" t="s">
        <v>175</v>
      </c>
      <c r="V37" s="3274"/>
      <c r="W37" s="3274"/>
      <c r="X37" s="3274"/>
      <c r="Y37" s="3274"/>
      <c r="Z37" s="3274"/>
      <c r="AA37" s="3276"/>
      <c r="AB37" s="3276"/>
      <c r="AC37" s="3276"/>
      <c r="AD37" s="3276"/>
      <c r="AE37" s="3276"/>
      <c r="AF37" s="3276"/>
      <c r="AG37" s="3276"/>
      <c r="AH37" s="3276"/>
      <c r="AI37" s="3276"/>
      <c r="AJ37" s="3276"/>
      <c r="AK37" s="3276"/>
      <c r="AL37" s="3644"/>
      <c r="AM37" s="3644"/>
      <c r="AN37" s="3611"/>
    </row>
    <row r="38" spans="1:40" ht="57" x14ac:dyDescent="0.25">
      <c r="A38" s="3626"/>
      <c r="B38" s="3627"/>
      <c r="C38" s="3630"/>
      <c r="D38" s="3630"/>
      <c r="E38" s="3274"/>
      <c r="F38" s="3274"/>
      <c r="G38" s="3274"/>
      <c r="H38" s="3589"/>
      <c r="I38" s="3116"/>
      <c r="J38" s="3642"/>
      <c r="K38" s="3274"/>
      <c r="L38" s="3274"/>
      <c r="M38" s="3615"/>
      <c r="N38" s="3635"/>
      <c r="O38" s="3631"/>
      <c r="P38" s="3633"/>
      <c r="Q38" s="3637"/>
      <c r="R38" s="311" t="s">
        <v>221</v>
      </c>
      <c r="S38" s="240">
        <v>5000000</v>
      </c>
      <c r="T38" s="241">
        <v>20</v>
      </c>
      <c r="U38" s="208" t="s">
        <v>175</v>
      </c>
      <c r="V38" s="3274"/>
      <c r="W38" s="3274"/>
      <c r="X38" s="3274"/>
      <c r="Y38" s="3274"/>
      <c r="Z38" s="3274"/>
      <c r="AA38" s="3276"/>
      <c r="AB38" s="3276"/>
      <c r="AC38" s="3276"/>
      <c r="AD38" s="3276"/>
      <c r="AE38" s="3276"/>
      <c r="AF38" s="3276"/>
      <c r="AG38" s="3276"/>
      <c r="AH38" s="3276"/>
      <c r="AI38" s="3276"/>
      <c r="AJ38" s="3276"/>
      <c r="AK38" s="3276"/>
      <c r="AL38" s="3644"/>
      <c r="AM38" s="3644"/>
      <c r="AN38" s="3611"/>
    </row>
    <row r="39" spans="1:40" ht="48.75" customHeight="1" x14ac:dyDescent="0.25">
      <c r="A39" s="3626"/>
      <c r="B39" s="3627"/>
      <c r="C39" s="3630"/>
      <c r="D39" s="3630"/>
      <c r="E39" s="3274"/>
      <c r="F39" s="3274"/>
      <c r="G39" s="3274"/>
      <c r="H39" s="3589"/>
      <c r="I39" s="3116"/>
      <c r="J39" s="3609"/>
      <c r="K39" s="3274"/>
      <c r="L39" s="3274"/>
      <c r="M39" s="3615"/>
      <c r="N39" s="3635"/>
      <c r="O39" s="3631"/>
      <c r="P39" s="3633"/>
      <c r="Q39" s="3637"/>
      <c r="R39" s="311" t="s">
        <v>222</v>
      </c>
      <c r="S39" s="240">
        <v>46680000</v>
      </c>
      <c r="T39" s="241">
        <v>20</v>
      </c>
      <c r="U39" s="208" t="s">
        <v>175</v>
      </c>
      <c r="V39" s="3274"/>
      <c r="W39" s="3274"/>
      <c r="X39" s="3274"/>
      <c r="Y39" s="3274"/>
      <c r="Z39" s="3274"/>
      <c r="AA39" s="3276"/>
      <c r="AB39" s="3276"/>
      <c r="AC39" s="3276"/>
      <c r="AD39" s="3276"/>
      <c r="AE39" s="3276"/>
      <c r="AF39" s="3276"/>
      <c r="AG39" s="3276"/>
      <c r="AH39" s="3276"/>
      <c r="AI39" s="3276"/>
      <c r="AJ39" s="3276"/>
      <c r="AK39" s="3276"/>
      <c r="AL39" s="3644"/>
      <c r="AM39" s="3644"/>
      <c r="AN39" s="3611"/>
    </row>
    <row r="40" spans="1:40" ht="71.25" x14ac:dyDescent="0.25">
      <c r="A40" s="3626"/>
      <c r="B40" s="3627"/>
      <c r="C40" s="3630"/>
      <c r="D40" s="3630"/>
      <c r="E40" s="3274"/>
      <c r="F40" s="3274"/>
      <c r="G40" s="268">
        <v>24</v>
      </c>
      <c r="H40" s="209" t="s">
        <v>223</v>
      </c>
      <c r="I40" s="209" t="s">
        <v>224</v>
      </c>
      <c r="J40" s="265">
        <v>1</v>
      </c>
      <c r="K40" s="3274"/>
      <c r="L40" s="3274"/>
      <c r="M40" s="3616"/>
      <c r="N40" s="262">
        <f>S40/O33</f>
        <v>0.49579848266145532</v>
      </c>
      <c r="O40" s="3631"/>
      <c r="P40" s="3634"/>
      <c r="Q40" s="3638"/>
      <c r="R40" s="311" t="s">
        <v>225</v>
      </c>
      <c r="S40" s="240">
        <v>180599118</v>
      </c>
      <c r="T40" s="241">
        <v>20</v>
      </c>
      <c r="U40" s="208" t="s">
        <v>175</v>
      </c>
      <c r="V40" s="3274"/>
      <c r="W40" s="3274"/>
      <c r="X40" s="3274"/>
      <c r="Y40" s="3274"/>
      <c r="Z40" s="3274"/>
      <c r="AA40" s="3277"/>
      <c r="AB40" s="3277"/>
      <c r="AC40" s="3277"/>
      <c r="AD40" s="3277"/>
      <c r="AE40" s="3277"/>
      <c r="AF40" s="3277"/>
      <c r="AG40" s="3277"/>
      <c r="AH40" s="3277"/>
      <c r="AI40" s="3277"/>
      <c r="AJ40" s="3277"/>
      <c r="AK40" s="3277"/>
      <c r="AL40" s="3645"/>
      <c r="AM40" s="3645"/>
      <c r="AN40" s="3612"/>
    </row>
    <row r="41" spans="1:40" ht="15" x14ac:dyDescent="0.25">
      <c r="A41" s="3626"/>
      <c r="B41" s="3627"/>
      <c r="C41" s="3630"/>
      <c r="D41" s="3630"/>
      <c r="E41" s="243">
        <v>5</v>
      </c>
      <c r="F41" s="244" t="s">
        <v>226</v>
      </c>
      <c r="G41" s="244"/>
      <c r="H41" s="312"/>
      <c r="I41" s="312"/>
      <c r="J41" s="312"/>
      <c r="K41" s="312"/>
      <c r="L41" s="312"/>
      <c r="M41" s="300"/>
      <c r="N41" s="301"/>
      <c r="O41" s="302"/>
      <c r="P41" s="300"/>
      <c r="Q41" s="300"/>
      <c r="R41" s="300"/>
      <c r="S41" s="303"/>
      <c r="T41" s="304"/>
      <c r="U41" s="305"/>
      <c r="V41" s="306"/>
      <c r="W41" s="306"/>
      <c r="X41" s="306"/>
      <c r="Y41" s="306"/>
      <c r="Z41" s="306"/>
      <c r="AA41" s="306"/>
      <c r="AB41" s="306"/>
      <c r="AC41" s="306"/>
      <c r="AD41" s="306"/>
      <c r="AE41" s="306"/>
      <c r="AF41" s="306"/>
      <c r="AG41" s="306"/>
      <c r="AH41" s="306"/>
      <c r="AI41" s="306"/>
      <c r="AJ41" s="306"/>
      <c r="AK41" s="306"/>
      <c r="AL41" s="307"/>
      <c r="AM41" s="308"/>
      <c r="AN41" s="309"/>
    </row>
    <row r="42" spans="1:40" x14ac:dyDescent="0.25">
      <c r="A42" s="3626"/>
      <c r="B42" s="3627"/>
      <c r="C42" s="3630"/>
      <c r="D42" s="3630"/>
      <c r="E42" s="3274"/>
      <c r="F42" s="3274"/>
      <c r="G42" s="3277">
        <v>25</v>
      </c>
      <c r="H42" s="3097" t="s">
        <v>227</v>
      </c>
      <c r="I42" s="3097" t="s">
        <v>228</v>
      </c>
      <c r="J42" s="3639">
        <v>2</v>
      </c>
      <c r="K42" s="3557" t="s">
        <v>229</v>
      </c>
      <c r="L42" s="3639" t="s">
        <v>230</v>
      </c>
      <c r="M42" s="3097" t="s">
        <v>231</v>
      </c>
      <c r="N42" s="3646">
        <f>+(S42+S43)/O42</f>
        <v>0.18063091559405339</v>
      </c>
      <c r="O42" s="3216">
        <v>1315168000</v>
      </c>
      <c r="P42" s="3097" t="s">
        <v>232</v>
      </c>
      <c r="Q42" s="3097" t="s">
        <v>233</v>
      </c>
      <c r="R42" s="209" t="s">
        <v>234</v>
      </c>
      <c r="S42" s="240">
        <v>118780000</v>
      </c>
      <c r="T42" s="241">
        <v>20</v>
      </c>
      <c r="U42" s="242" t="s">
        <v>139</v>
      </c>
      <c r="V42" s="3275">
        <v>600</v>
      </c>
      <c r="W42" s="3275">
        <v>600</v>
      </c>
      <c r="X42" s="3275">
        <v>125</v>
      </c>
      <c r="Y42" s="3275">
        <v>75</v>
      </c>
      <c r="Z42" s="3275">
        <v>300</v>
      </c>
      <c r="AA42" s="3275">
        <v>700</v>
      </c>
      <c r="AB42" s="3275">
        <v>50</v>
      </c>
      <c r="AC42" s="3275">
        <v>30</v>
      </c>
      <c r="AD42" s="3275"/>
      <c r="AE42" s="3275"/>
      <c r="AF42" s="3275"/>
      <c r="AG42" s="3275"/>
      <c r="AH42" s="3275"/>
      <c r="AI42" s="3275">
        <v>10</v>
      </c>
      <c r="AJ42" s="3275">
        <v>10</v>
      </c>
      <c r="AK42" s="3275">
        <f>V42+W42</f>
        <v>1200</v>
      </c>
      <c r="AL42" s="3643">
        <v>43466</v>
      </c>
      <c r="AM42" s="3643">
        <v>43830</v>
      </c>
      <c r="AN42" s="3610" t="s">
        <v>211</v>
      </c>
    </row>
    <row r="43" spans="1:40" x14ac:dyDescent="0.25">
      <c r="A43" s="3626"/>
      <c r="B43" s="3627"/>
      <c r="C43" s="3630"/>
      <c r="D43" s="3630"/>
      <c r="E43" s="3274"/>
      <c r="F43" s="3274"/>
      <c r="G43" s="3274"/>
      <c r="H43" s="3098"/>
      <c r="I43" s="3098"/>
      <c r="J43" s="3640"/>
      <c r="K43" s="3641"/>
      <c r="L43" s="3641"/>
      <c r="M43" s="3560"/>
      <c r="N43" s="3647"/>
      <c r="O43" s="3217"/>
      <c r="P43" s="3560"/>
      <c r="Q43" s="3560"/>
      <c r="R43" s="209" t="s">
        <v>235</v>
      </c>
      <c r="S43" s="240">
        <v>118780000</v>
      </c>
      <c r="T43" s="241">
        <v>20</v>
      </c>
      <c r="U43" s="242" t="s">
        <v>139</v>
      </c>
      <c r="V43" s="3276"/>
      <c r="W43" s="3276"/>
      <c r="X43" s="3276"/>
      <c r="Y43" s="3276"/>
      <c r="Z43" s="3276"/>
      <c r="AA43" s="3276"/>
      <c r="AB43" s="3276"/>
      <c r="AC43" s="3276"/>
      <c r="AD43" s="3276"/>
      <c r="AE43" s="3276"/>
      <c r="AF43" s="3276"/>
      <c r="AG43" s="3276"/>
      <c r="AH43" s="3276"/>
      <c r="AI43" s="3276"/>
      <c r="AJ43" s="3276"/>
      <c r="AK43" s="3276"/>
      <c r="AL43" s="3644"/>
      <c r="AM43" s="3644"/>
      <c r="AN43" s="3611"/>
    </row>
    <row r="44" spans="1:40" ht="103.5" customHeight="1" x14ac:dyDescent="0.25">
      <c r="A44" s="3626"/>
      <c r="B44" s="3627"/>
      <c r="C44" s="3630"/>
      <c r="D44" s="3630"/>
      <c r="E44" s="3274"/>
      <c r="F44" s="3274"/>
      <c r="G44" s="238">
        <v>26</v>
      </c>
      <c r="H44" s="209" t="s">
        <v>236</v>
      </c>
      <c r="I44" s="209" t="s">
        <v>237</v>
      </c>
      <c r="J44" s="210">
        <v>2</v>
      </c>
      <c r="K44" s="3641"/>
      <c r="L44" s="3641"/>
      <c r="M44" s="3560"/>
      <c r="N44" s="262">
        <f>S44/O42</f>
        <v>3.3721927540816078E-2</v>
      </c>
      <c r="O44" s="3217"/>
      <c r="P44" s="3560"/>
      <c r="Q44" s="3098"/>
      <c r="R44" s="209" t="s">
        <v>238</v>
      </c>
      <c r="S44" s="240">
        <v>44350000</v>
      </c>
      <c r="T44" s="241">
        <v>20</v>
      </c>
      <c r="U44" s="242" t="s">
        <v>139</v>
      </c>
      <c r="V44" s="3276"/>
      <c r="W44" s="3276"/>
      <c r="X44" s="3276"/>
      <c r="Y44" s="3276"/>
      <c r="Z44" s="3276"/>
      <c r="AA44" s="3276"/>
      <c r="AB44" s="3276"/>
      <c r="AC44" s="3276"/>
      <c r="AD44" s="3276"/>
      <c r="AE44" s="3276"/>
      <c r="AF44" s="3276"/>
      <c r="AG44" s="3276"/>
      <c r="AH44" s="3276"/>
      <c r="AI44" s="3276"/>
      <c r="AJ44" s="3276"/>
      <c r="AK44" s="3276"/>
      <c r="AL44" s="3644"/>
      <c r="AM44" s="3644"/>
      <c r="AN44" s="3611"/>
    </row>
    <row r="45" spans="1:40" ht="42.75" x14ac:dyDescent="0.25">
      <c r="A45" s="3626"/>
      <c r="B45" s="3627"/>
      <c r="C45" s="3630"/>
      <c r="D45" s="3630"/>
      <c r="E45" s="3274"/>
      <c r="F45" s="3274"/>
      <c r="G45" s="238">
        <v>27</v>
      </c>
      <c r="H45" s="209" t="s">
        <v>239</v>
      </c>
      <c r="I45" s="209" t="s">
        <v>240</v>
      </c>
      <c r="J45" s="265">
        <v>3</v>
      </c>
      <c r="K45" s="3641"/>
      <c r="L45" s="3641"/>
      <c r="M45" s="3560"/>
      <c r="N45" s="262">
        <f>S45/O42</f>
        <v>0.76035913282561618</v>
      </c>
      <c r="O45" s="3217"/>
      <c r="P45" s="3560"/>
      <c r="Q45" s="209" t="s">
        <v>241</v>
      </c>
      <c r="R45" s="209" t="s">
        <v>242</v>
      </c>
      <c r="S45" s="240">
        <v>1000000000</v>
      </c>
      <c r="T45" s="241">
        <v>46</v>
      </c>
      <c r="U45" s="208" t="s">
        <v>243</v>
      </c>
      <c r="V45" s="3276"/>
      <c r="W45" s="3276"/>
      <c r="X45" s="3276"/>
      <c r="Y45" s="3276"/>
      <c r="Z45" s="3276"/>
      <c r="AA45" s="3276"/>
      <c r="AB45" s="3276"/>
      <c r="AC45" s="3276"/>
      <c r="AD45" s="3276"/>
      <c r="AE45" s="3276"/>
      <c r="AF45" s="3276"/>
      <c r="AG45" s="3276"/>
      <c r="AH45" s="3276"/>
      <c r="AI45" s="3276"/>
      <c r="AJ45" s="3276"/>
      <c r="AK45" s="3276"/>
      <c r="AL45" s="3644"/>
      <c r="AM45" s="3644"/>
      <c r="AN45" s="3611"/>
    </row>
    <row r="46" spans="1:40" ht="57" x14ac:dyDescent="0.25">
      <c r="A46" s="3626"/>
      <c r="B46" s="3627"/>
      <c r="C46" s="3630"/>
      <c r="D46" s="3630"/>
      <c r="E46" s="3274"/>
      <c r="F46" s="3274"/>
      <c r="G46" s="238">
        <v>28</v>
      </c>
      <c r="H46" s="209" t="s">
        <v>244</v>
      </c>
      <c r="I46" s="209" t="s">
        <v>245</v>
      </c>
      <c r="J46" s="210">
        <v>2</v>
      </c>
      <c r="K46" s="3640"/>
      <c r="L46" s="3640"/>
      <c r="M46" s="3098"/>
      <c r="N46" s="262">
        <f>S46/O42</f>
        <v>2.5288024039514342E-2</v>
      </c>
      <c r="O46" s="3218"/>
      <c r="P46" s="3098"/>
      <c r="Q46" s="209" t="s">
        <v>246</v>
      </c>
      <c r="R46" s="209" t="s">
        <v>247</v>
      </c>
      <c r="S46" s="240">
        <v>33258000</v>
      </c>
      <c r="T46" s="241">
        <v>20</v>
      </c>
      <c r="U46" s="242" t="s">
        <v>139</v>
      </c>
      <c r="V46" s="3277"/>
      <c r="W46" s="3277"/>
      <c r="X46" s="3277"/>
      <c r="Y46" s="3277"/>
      <c r="Z46" s="3277"/>
      <c r="AA46" s="3277"/>
      <c r="AB46" s="3277"/>
      <c r="AC46" s="3277"/>
      <c r="AD46" s="3277"/>
      <c r="AE46" s="3277"/>
      <c r="AF46" s="3277"/>
      <c r="AG46" s="3277"/>
      <c r="AH46" s="3277"/>
      <c r="AI46" s="3277"/>
      <c r="AJ46" s="3277"/>
      <c r="AK46" s="3277"/>
      <c r="AL46" s="3645"/>
      <c r="AM46" s="3645"/>
      <c r="AN46" s="3612"/>
    </row>
    <row r="47" spans="1:40" ht="70.5" customHeight="1" x14ac:dyDescent="0.25">
      <c r="A47" s="3626"/>
      <c r="B47" s="3627"/>
      <c r="C47" s="3630"/>
      <c r="D47" s="3630"/>
      <c r="E47" s="3274"/>
      <c r="F47" s="3274"/>
      <c r="G47" s="3275">
        <v>29</v>
      </c>
      <c r="H47" s="3097" t="s">
        <v>248</v>
      </c>
      <c r="I47" s="3097" t="s">
        <v>249</v>
      </c>
      <c r="J47" s="3639">
        <v>1</v>
      </c>
      <c r="K47" s="3639" t="s">
        <v>250</v>
      </c>
      <c r="L47" s="3639" t="s">
        <v>251</v>
      </c>
      <c r="M47" s="3097" t="s">
        <v>252</v>
      </c>
      <c r="N47" s="3646">
        <f>+(S47+S48)/O47</f>
        <v>1</v>
      </c>
      <c r="O47" s="3216">
        <v>22170000</v>
      </c>
      <c r="P47" s="3097" t="s">
        <v>253</v>
      </c>
      <c r="Q47" s="3650" t="s">
        <v>254</v>
      </c>
      <c r="R47" s="209" t="s">
        <v>255</v>
      </c>
      <c r="S47" s="240">
        <v>15000000</v>
      </c>
      <c r="T47" s="241">
        <v>20</v>
      </c>
      <c r="U47" s="208" t="s">
        <v>175</v>
      </c>
      <c r="V47" s="3648">
        <v>210</v>
      </c>
      <c r="W47" s="3648">
        <v>140</v>
      </c>
      <c r="X47" s="3648"/>
      <c r="Y47" s="3648"/>
      <c r="Z47" s="3648"/>
      <c r="AA47" s="3648"/>
      <c r="AB47" s="3648"/>
      <c r="AC47" s="3648"/>
      <c r="AD47" s="3648"/>
      <c r="AE47" s="3648"/>
      <c r="AF47" s="3648"/>
      <c r="AG47" s="3648"/>
      <c r="AH47" s="3648"/>
      <c r="AI47" s="3648"/>
      <c r="AJ47" s="3648"/>
      <c r="AK47" s="3648">
        <f>V47+W47</f>
        <v>350</v>
      </c>
      <c r="AL47" s="3643">
        <v>43466</v>
      </c>
      <c r="AM47" s="3643">
        <v>43830</v>
      </c>
      <c r="AN47" s="3610" t="s">
        <v>256</v>
      </c>
    </row>
    <row r="48" spans="1:40" ht="45.75" customHeight="1" x14ac:dyDescent="0.25">
      <c r="A48" s="3626"/>
      <c r="B48" s="3627"/>
      <c r="C48" s="3630"/>
      <c r="D48" s="3630"/>
      <c r="E48" s="3274"/>
      <c r="F48" s="3274"/>
      <c r="G48" s="3277"/>
      <c r="H48" s="3098"/>
      <c r="I48" s="3098"/>
      <c r="J48" s="3640"/>
      <c r="K48" s="3640"/>
      <c r="L48" s="3640"/>
      <c r="M48" s="3098"/>
      <c r="N48" s="3647"/>
      <c r="O48" s="3218"/>
      <c r="P48" s="3098"/>
      <c r="Q48" s="3651"/>
      <c r="R48" s="209" t="s">
        <v>257</v>
      </c>
      <c r="S48" s="240">
        <v>7170000</v>
      </c>
      <c r="T48" s="241">
        <v>20</v>
      </c>
      <c r="U48" s="208" t="s">
        <v>175</v>
      </c>
      <c r="V48" s="3649"/>
      <c r="W48" s="3649"/>
      <c r="X48" s="3649"/>
      <c r="Y48" s="3649"/>
      <c r="Z48" s="3649"/>
      <c r="AA48" s="3649"/>
      <c r="AB48" s="3649"/>
      <c r="AC48" s="3649"/>
      <c r="AD48" s="3649"/>
      <c r="AE48" s="3649"/>
      <c r="AF48" s="3649"/>
      <c r="AG48" s="3649"/>
      <c r="AH48" s="3649"/>
      <c r="AI48" s="3649"/>
      <c r="AJ48" s="3649"/>
      <c r="AK48" s="3649"/>
      <c r="AL48" s="3645"/>
      <c r="AM48" s="3645"/>
      <c r="AN48" s="3612"/>
    </row>
    <row r="49" spans="1:40" ht="96.75" customHeight="1" x14ac:dyDescent="0.25">
      <c r="A49" s="3626"/>
      <c r="B49" s="3627"/>
      <c r="C49" s="3630"/>
      <c r="D49" s="3630"/>
      <c r="E49" s="3274"/>
      <c r="F49" s="3274"/>
      <c r="G49" s="3274">
        <v>30</v>
      </c>
      <c r="H49" s="3097" t="s">
        <v>258</v>
      </c>
      <c r="I49" s="3097" t="s">
        <v>259</v>
      </c>
      <c r="J49" s="3639">
        <v>1</v>
      </c>
      <c r="K49" s="3639" t="s">
        <v>260</v>
      </c>
      <c r="L49" s="3639" t="s">
        <v>261</v>
      </c>
      <c r="M49" s="3097" t="s">
        <v>262</v>
      </c>
      <c r="N49" s="3646">
        <f>S49/O49</f>
        <v>1</v>
      </c>
      <c r="O49" s="3216">
        <v>22169913</v>
      </c>
      <c r="P49" s="3097" t="s">
        <v>263</v>
      </c>
      <c r="Q49" s="216" t="s">
        <v>264</v>
      </c>
      <c r="R49" s="3417" t="s">
        <v>265</v>
      </c>
      <c r="S49" s="3655">
        <v>22169913</v>
      </c>
      <c r="T49" s="3657">
        <v>20</v>
      </c>
      <c r="U49" s="3557" t="s">
        <v>175</v>
      </c>
      <c r="V49" s="3652">
        <v>8</v>
      </c>
      <c r="W49" s="3652">
        <v>12</v>
      </c>
      <c r="X49" s="3652"/>
      <c r="Y49" s="3652"/>
      <c r="Z49" s="3652"/>
      <c r="AA49" s="3652"/>
      <c r="AB49" s="3652"/>
      <c r="AC49" s="3652"/>
      <c r="AD49" s="3652"/>
      <c r="AE49" s="3652"/>
      <c r="AF49" s="3652"/>
      <c r="AG49" s="3652"/>
      <c r="AH49" s="3652"/>
      <c r="AI49" s="3652"/>
      <c r="AJ49" s="3652"/>
      <c r="AK49" s="3652">
        <f>+V49+W49</f>
        <v>20</v>
      </c>
      <c r="AL49" s="3643">
        <v>43101</v>
      </c>
      <c r="AM49" s="3643">
        <v>43465</v>
      </c>
      <c r="AN49" s="3610" t="s">
        <v>211</v>
      </c>
    </row>
    <row r="50" spans="1:40" ht="80.25" customHeight="1" x14ac:dyDescent="0.25">
      <c r="A50" s="3626"/>
      <c r="B50" s="3627"/>
      <c r="C50" s="3630"/>
      <c r="D50" s="3630"/>
      <c r="E50" s="3274"/>
      <c r="F50" s="3274"/>
      <c r="G50" s="3275"/>
      <c r="H50" s="3560"/>
      <c r="I50" s="3560"/>
      <c r="J50" s="3641"/>
      <c r="K50" s="3641"/>
      <c r="L50" s="3641"/>
      <c r="M50" s="3560"/>
      <c r="N50" s="3654"/>
      <c r="O50" s="3217"/>
      <c r="P50" s="3560"/>
      <c r="Q50" s="216" t="s">
        <v>266</v>
      </c>
      <c r="R50" s="3418"/>
      <c r="S50" s="3656"/>
      <c r="T50" s="3658"/>
      <c r="U50" s="3578"/>
      <c r="V50" s="3653"/>
      <c r="W50" s="3653"/>
      <c r="X50" s="3653"/>
      <c r="Y50" s="3653"/>
      <c r="Z50" s="3653"/>
      <c r="AA50" s="3653"/>
      <c r="AB50" s="3653"/>
      <c r="AC50" s="3653"/>
      <c r="AD50" s="3653"/>
      <c r="AE50" s="3653"/>
      <c r="AF50" s="3653"/>
      <c r="AG50" s="3653"/>
      <c r="AH50" s="3653"/>
      <c r="AI50" s="3653"/>
      <c r="AJ50" s="3653"/>
      <c r="AK50" s="3653"/>
      <c r="AL50" s="3644"/>
      <c r="AM50" s="3644"/>
      <c r="AN50" s="3611"/>
    </row>
    <row r="51" spans="1:40" ht="15.75" thickBot="1" x14ac:dyDescent="0.3">
      <c r="A51" s="3626"/>
      <c r="B51" s="3627"/>
      <c r="C51" s="3630"/>
      <c r="D51" s="3630"/>
      <c r="E51" s="243">
        <v>6</v>
      </c>
      <c r="F51" s="3659" t="s">
        <v>267</v>
      </c>
      <c r="G51" s="3660"/>
      <c r="H51" s="3660"/>
      <c r="I51" s="3660"/>
      <c r="J51" s="3660"/>
      <c r="K51" s="3660"/>
      <c r="L51" s="3660"/>
      <c r="M51" s="3660"/>
      <c r="N51" s="3660"/>
      <c r="O51" s="3660"/>
      <c r="P51" s="3660"/>
      <c r="Q51" s="3660"/>
      <c r="R51" s="3660"/>
      <c r="S51" s="3660"/>
      <c r="T51" s="3660"/>
      <c r="U51" s="3660"/>
      <c r="V51" s="3660"/>
      <c r="W51" s="3660"/>
      <c r="X51" s="3660"/>
      <c r="Y51" s="3660"/>
      <c r="Z51" s="3660"/>
      <c r="AA51" s="3660"/>
      <c r="AB51" s="3660"/>
      <c r="AC51" s="3660"/>
      <c r="AD51" s="3660"/>
      <c r="AE51" s="3660"/>
      <c r="AF51" s="3660"/>
      <c r="AG51" s="3660"/>
      <c r="AH51" s="3660"/>
      <c r="AI51" s="3660"/>
      <c r="AJ51" s="3660"/>
      <c r="AK51" s="3660"/>
      <c r="AL51" s="3660"/>
      <c r="AM51" s="3660"/>
      <c r="AN51" s="3661"/>
    </row>
    <row r="52" spans="1:40" ht="128.25" x14ac:dyDescent="0.25">
      <c r="A52" s="3626"/>
      <c r="B52" s="3627"/>
      <c r="C52" s="3630"/>
      <c r="D52" s="3630"/>
      <c r="E52" s="3274"/>
      <c r="F52" s="3274"/>
      <c r="G52" s="238">
        <v>31</v>
      </c>
      <c r="H52" s="209" t="s">
        <v>268</v>
      </c>
      <c r="I52" s="313" t="s">
        <v>269</v>
      </c>
      <c r="J52" s="314">
        <v>4</v>
      </c>
      <c r="K52" s="3639" t="s">
        <v>270</v>
      </c>
      <c r="L52" s="3639" t="s">
        <v>271</v>
      </c>
      <c r="M52" s="3097" t="s">
        <v>272</v>
      </c>
      <c r="N52" s="262">
        <f>S52/O52</f>
        <v>0.34666567637771994</v>
      </c>
      <c r="O52" s="3216">
        <v>475120588</v>
      </c>
      <c r="P52" s="3221" t="s">
        <v>273</v>
      </c>
      <c r="Q52" s="209" t="s">
        <v>274</v>
      </c>
      <c r="R52" s="209" t="s">
        <v>275</v>
      </c>
      <c r="S52" s="240">
        <v>164708000</v>
      </c>
      <c r="T52" s="241">
        <v>20</v>
      </c>
      <c r="U52" s="208" t="s">
        <v>175</v>
      </c>
      <c r="V52" s="3275">
        <v>170</v>
      </c>
      <c r="W52" s="3275">
        <v>200</v>
      </c>
      <c r="X52" s="3275"/>
      <c r="Y52" s="3275"/>
      <c r="Z52" s="3275">
        <v>300</v>
      </c>
      <c r="AA52" s="3275">
        <v>10</v>
      </c>
      <c r="AB52" s="3275"/>
      <c r="AC52" s="3275"/>
      <c r="AD52" s="3275"/>
      <c r="AE52" s="3275"/>
      <c r="AF52" s="3275"/>
      <c r="AG52" s="3275"/>
      <c r="AH52" s="3275"/>
      <c r="AI52" s="3275"/>
      <c r="AJ52" s="3275"/>
      <c r="AK52" s="3275">
        <f>V52+W52</f>
        <v>370</v>
      </c>
      <c r="AL52" s="3643">
        <v>43466</v>
      </c>
      <c r="AM52" s="3643">
        <v>43830</v>
      </c>
      <c r="AN52" s="3610" t="s">
        <v>256</v>
      </c>
    </row>
    <row r="53" spans="1:40" ht="156.75" x14ac:dyDescent="0.25">
      <c r="A53" s="3626"/>
      <c r="B53" s="3627"/>
      <c r="C53" s="3630"/>
      <c r="D53" s="3630"/>
      <c r="E53" s="3274"/>
      <c r="F53" s="3274"/>
      <c r="G53" s="238">
        <v>32</v>
      </c>
      <c r="H53" s="209" t="s">
        <v>276</v>
      </c>
      <c r="I53" s="313" t="s">
        <v>277</v>
      </c>
      <c r="J53" s="265">
        <v>25</v>
      </c>
      <c r="K53" s="3641"/>
      <c r="L53" s="3641"/>
      <c r="M53" s="3560"/>
      <c r="N53" s="262">
        <f>S53/O52</f>
        <v>0.52705059373263785</v>
      </c>
      <c r="O53" s="3217"/>
      <c r="P53" s="3619"/>
      <c r="Q53" s="209" t="s">
        <v>278</v>
      </c>
      <c r="R53" s="209" t="s">
        <v>279</v>
      </c>
      <c r="S53" s="240">
        <v>250412588</v>
      </c>
      <c r="T53" s="241">
        <v>20</v>
      </c>
      <c r="U53" s="208" t="s">
        <v>175</v>
      </c>
      <c r="V53" s="3276"/>
      <c r="W53" s="3276"/>
      <c r="X53" s="3276"/>
      <c r="Y53" s="3276"/>
      <c r="Z53" s="3276"/>
      <c r="AA53" s="3276"/>
      <c r="AB53" s="3276"/>
      <c r="AC53" s="3276"/>
      <c r="AD53" s="3276"/>
      <c r="AE53" s="3276"/>
      <c r="AF53" s="3276"/>
      <c r="AG53" s="3276"/>
      <c r="AH53" s="3276"/>
      <c r="AI53" s="3276"/>
      <c r="AJ53" s="3276"/>
      <c r="AK53" s="3276"/>
      <c r="AL53" s="3644"/>
      <c r="AM53" s="3644"/>
      <c r="AN53" s="3611"/>
    </row>
    <row r="54" spans="1:40" ht="52.5" customHeight="1" x14ac:dyDescent="0.25">
      <c r="A54" s="3626"/>
      <c r="B54" s="3627"/>
      <c r="C54" s="3630"/>
      <c r="D54" s="3630"/>
      <c r="E54" s="3274"/>
      <c r="F54" s="3274"/>
      <c r="G54" s="238">
        <v>33</v>
      </c>
      <c r="H54" s="209" t="s">
        <v>280</v>
      </c>
      <c r="I54" s="313" t="s">
        <v>281</v>
      </c>
      <c r="J54" s="265">
        <v>200</v>
      </c>
      <c r="K54" s="3641"/>
      <c r="L54" s="3641"/>
      <c r="M54" s="3560"/>
      <c r="N54" s="262">
        <f>S54/O52</f>
        <v>6.314186494482113E-2</v>
      </c>
      <c r="O54" s="3217"/>
      <c r="P54" s="3619"/>
      <c r="Q54" s="3097" t="s">
        <v>282</v>
      </c>
      <c r="R54" s="209" t="s">
        <v>283</v>
      </c>
      <c r="S54" s="240">
        <v>30000000</v>
      </c>
      <c r="T54" s="241">
        <v>20</v>
      </c>
      <c r="U54" s="208" t="s">
        <v>175</v>
      </c>
      <c r="V54" s="3276"/>
      <c r="W54" s="3276"/>
      <c r="X54" s="3276"/>
      <c r="Y54" s="3276"/>
      <c r="Z54" s="3276"/>
      <c r="AA54" s="3276"/>
      <c r="AB54" s="3276"/>
      <c r="AC54" s="3276"/>
      <c r="AD54" s="3276"/>
      <c r="AE54" s="3276"/>
      <c r="AF54" s="3276"/>
      <c r="AG54" s="3276"/>
      <c r="AH54" s="3276"/>
      <c r="AI54" s="3276"/>
      <c r="AJ54" s="3276"/>
      <c r="AK54" s="3276"/>
      <c r="AL54" s="3644"/>
      <c r="AM54" s="3644"/>
      <c r="AN54" s="3611"/>
    </row>
    <row r="55" spans="1:40" ht="113.25" customHeight="1" thickBot="1" x14ac:dyDescent="0.3">
      <c r="A55" s="3626"/>
      <c r="B55" s="3627"/>
      <c r="C55" s="3630"/>
      <c r="D55" s="3630"/>
      <c r="E55" s="3274"/>
      <c r="F55" s="3274"/>
      <c r="G55" s="268">
        <v>34</v>
      </c>
      <c r="H55" s="216" t="s">
        <v>284</v>
      </c>
      <c r="I55" s="315" t="s">
        <v>285</v>
      </c>
      <c r="J55" s="316">
        <v>600</v>
      </c>
      <c r="K55" s="3641"/>
      <c r="L55" s="3641"/>
      <c r="M55" s="3098"/>
      <c r="N55" s="270">
        <f>S55/O52</f>
        <v>6.314186494482113E-2</v>
      </c>
      <c r="O55" s="3217"/>
      <c r="P55" s="3222"/>
      <c r="Q55" s="3098"/>
      <c r="R55" s="216" t="s">
        <v>286</v>
      </c>
      <c r="S55" s="317">
        <v>30000000</v>
      </c>
      <c r="T55" s="272">
        <v>20</v>
      </c>
      <c r="U55" s="215" t="s">
        <v>175</v>
      </c>
      <c r="V55" s="3276"/>
      <c r="W55" s="3276"/>
      <c r="X55" s="3276"/>
      <c r="Y55" s="3276"/>
      <c r="Z55" s="3276"/>
      <c r="AA55" s="3276"/>
      <c r="AB55" s="3276"/>
      <c r="AC55" s="3276"/>
      <c r="AD55" s="3276"/>
      <c r="AE55" s="3276"/>
      <c r="AF55" s="3276"/>
      <c r="AG55" s="3276"/>
      <c r="AH55" s="3276"/>
      <c r="AI55" s="3276"/>
      <c r="AJ55" s="3276"/>
      <c r="AK55" s="3276"/>
      <c r="AL55" s="3644"/>
      <c r="AM55" s="3644"/>
      <c r="AN55" s="3612"/>
    </row>
    <row r="56" spans="1:40" ht="15" x14ac:dyDescent="0.25">
      <c r="A56" s="3626"/>
      <c r="B56" s="3627"/>
      <c r="C56" s="3630"/>
      <c r="D56" s="3630"/>
      <c r="E56" s="243">
        <v>7</v>
      </c>
      <c r="F56" s="244" t="s">
        <v>287</v>
      </c>
      <c r="G56" s="243"/>
      <c r="H56" s="318"/>
      <c r="I56" s="191"/>
      <c r="J56" s="306"/>
      <c r="K56" s="306"/>
      <c r="L56" s="305"/>
      <c r="M56" s="319"/>
      <c r="N56" s="301"/>
      <c r="O56" s="302"/>
      <c r="P56" s="300"/>
      <c r="Q56" s="300"/>
      <c r="R56" s="300"/>
      <c r="S56" s="320"/>
      <c r="T56" s="304"/>
      <c r="U56" s="305"/>
      <c r="V56" s="306"/>
      <c r="W56" s="306"/>
      <c r="X56" s="306"/>
      <c r="Y56" s="306"/>
      <c r="Z56" s="306"/>
      <c r="AA56" s="306"/>
      <c r="AB56" s="306"/>
      <c r="AC56" s="306"/>
      <c r="AD56" s="306"/>
      <c r="AE56" s="306"/>
      <c r="AF56" s="306"/>
      <c r="AG56" s="306"/>
      <c r="AH56" s="306"/>
      <c r="AI56" s="306"/>
      <c r="AJ56" s="306"/>
      <c r="AK56" s="306"/>
      <c r="AL56" s="307"/>
      <c r="AM56" s="308"/>
      <c r="AN56" s="309"/>
    </row>
    <row r="57" spans="1:40" ht="56.25" customHeight="1" x14ac:dyDescent="0.25">
      <c r="A57" s="3626"/>
      <c r="B57" s="3627"/>
      <c r="C57" s="3630"/>
      <c r="D57" s="3630"/>
      <c r="E57" s="3664"/>
      <c r="F57" s="3665"/>
      <c r="G57" s="238">
        <v>35</v>
      </c>
      <c r="H57" s="209" t="s">
        <v>288</v>
      </c>
      <c r="I57" s="209" t="s">
        <v>237</v>
      </c>
      <c r="J57" s="321">
        <v>5</v>
      </c>
      <c r="K57" s="3639" t="s">
        <v>289</v>
      </c>
      <c r="L57" s="3639" t="s">
        <v>290</v>
      </c>
      <c r="M57" s="3097" t="s">
        <v>291</v>
      </c>
      <c r="N57" s="262">
        <f>S57/O57</f>
        <v>0.35199821675250459</v>
      </c>
      <c r="O57" s="3216">
        <v>197966912</v>
      </c>
      <c r="P57" s="3221" t="s">
        <v>292</v>
      </c>
      <c r="Q57" s="322" t="s">
        <v>293</v>
      </c>
      <c r="R57" s="322" t="s">
        <v>294</v>
      </c>
      <c r="S57" s="323">
        <v>69684000</v>
      </c>
      <c r="T57" s="241">
        <v>20</v>
      </c>
      <c r="U57" s="208" t="s">
        <v>175</v>
      </c>
      <c r="V57" s="3662">
        <v>100</v>
      </c>
      <c r="W57" s="3662">
        <v>60</v>
      </c>
      <c r="X57" s="3662"/>
      <c r="Y57" s="3662"/>
      <c r="Z57" s="3662">
        <v>110</v>
      </c>
      <c r="AA57" s="3662">
        <v>50</v>
      </c>
      <c r="AB57" s="3662"/>
      <c r="AC57" s="3662"/>
      <c r="AD57" s="3662"/>
      <c r="AE57" s="3662"/>
      <c r="AF57" s="3662"/>
      <c r="AG57" s="3662"/>
      <c r="AH57" s="3662"/>
      <c r="AI57" s="3662"/>
      <c r="AJ57" s="3662"/>
      <c r="AK57" s="3662">
        <f>V57+W57</f>
        <v>160</v>
      </c>
      <c r="AL57" s="3643">
        <v>43466</v>
      </c>
      <c r="AM57" s="3643">
        <v>43830</v>
      </c>
      <c r="AN57" s="3610" t="s">
        <v>256</v>
      </c>
    </row>
    <row r="58" spans="1:40" ht="71.25" x14ac:dyDescent="0.25">
      <c r="A58" s="3628"/>
      <c r="B58" s="3629"/>
      <c r="C58" s="3630"/>
      <c r="D58" s="3630"/>
      <c r="E58" s="3666"/>
      <c r="F58" s="3667"/>
      <c r="G58" s="238">
        <v>37</v>
      </c>
      <c r="H58" s="209" t="s">
        <v>295</v>
      </c>
      <c r="I58" s="209" t="s">
        <v>296</v>
      </c>
      <c r="J58" s="324">
        <v>1</v>
      </c>
      <c r="K58" s="3640"/>
      <c r="L58" s="3640"/>
      <c r="M58" s="3098"/>
      <c r="N58" s="262">
        <f>S58/O57</f>
        <v>0.64800178324749547</v>
      </c>
      <c r="O58" s="3218"/>
      <c r="P58" s="3222"/>
      <c r="Q58" s="209" t="s">
        <v>297</v>
      </c>
      <c r="R58" s="322" t="s">
        <v>298</v>
      </c>
      <c r="S58" s="323">
        <v>128282912</v>
      </c>
      <c r="T58" s="241">
        <v>20</v>
      </c>
      <c r="U58" s="208" t="s">
        <v>175</v>
      </c>
      <c r="V58" s="3663"/>
      <c r="W58" s="3663"/>
      <c r="X58" s="3663"/>
      <c r="Y58" s="3663"/>
      <c r="Z58" s="3663"/>
      <c r="AA58" s="3663"/>
      <c r="AB58" s="3663"/>
      <c r="AC58" s="3663"/>
      <c r="AD58" s="3663"/>
      <c r="AE58" s="3663"/>
      <c r="AF58" s="3663"/>
      <c r="AG58" s="3663"/>
      <c r="AH58" s="3663"/>
      <c r="AI58" s="3663"/>
      <c r="AJ58" s="3663"/>
      <c r="AK58" s="3663"/>
      <c r="AL58" s="3645"/>
      <c r="AM58" s="3645"/>
      <c r="AN58" s="3612"/>
    </row>
    <row r="59" spans="1:40" ht="15" x14ac:dyDescent="0.25">
      <c r="A59" s="325">
        <v>3</v>
      </c>
      <c r="B59" s="274" t="s">
        <v>299</v>
      </c>
      <c r="C59" s="326"/>
      <c r="D59" s="326"/>
      <c r="E59" s="327"/>
      <c r="F59" s="328"/>
      <c r="G59" s="329"/>
      <c r="H59" s="330"/>
      <c r="I59" s="328"/>
      <c r="J59" s="328"/>
      <c r="K59" s="328"/>
      <c r="L59" s="329"/>
      <c r="M59" s="330"/>
      <c r="N59" s="331"/>
      <c r="O59" s="332"/>
      <c r="P59" s="330"/>
      <c r="Q59" s="330"/>
      <c r="R59" s="330"/>
      <c r="S59" s="333"/>
      <c r="T59" s="334"/>
      <c r="U59" s="329"/>
      <c r="V59" s="328"/>
      <c r="W59" s="328"/>
      <c r="X59" s="328"/>
      <c r="Y59" s="328"/>
      <c r="Z59" s="328"/>
      <c r="AA59" s="328"/>
      <c r="AB59" s="328"/>
      <c r="AC59" s="328"/>
      <c r="AD59" s="328"/>
      <c r="AE59" s="328"/>
      <c r="AF59" s="328"/>
      <c r="AG59" s="328"/>
      <c r="AH59" s="328"/>
      <c r="AI59" s="328"/>
      <c r="AJ59" s="328"/>
      <c r="AK59" s="328"/>
      <c r="AL59" s="335"/>
      <c r="AM59" s="336"/>
      <c r="AN59" s="337"/>
    </row>
    <row r="60" spans="1:40" ht="21" customHeight="1" x14ac:dyDescent="0.25">
      <c r="A60" s="3630"/>
      <c r="B60" s="3630"/>
      <c r="C60" s="338">
        <v>11</v>
      </c>
      <c r="D60" s="339" t="s">
        <v>300</v>
      </c>
      <c r="E60" s="340"/>
      <c r="F60" s="339"/>
      <c r="G60" s="341"/>
      <c r="H60" s="342"/>
      <c r="I60" s="343"/>
      <c r="J60" s="343"/>
      <c r="K60" s="343"/>
      <c r="L60" s="341"/>
      <c r="M60" s="342"/>
      <c r="N60" s="344"/>
      <c r="O60" s="345"/>
      <c r="P60" s="342"/>
      <c r="Q60" s="342"/>
      <c r="R60" s="342"/>
      <c r="S60" s="346"/>
      <c r="T60" s="347"/>
      <c r="U60" s="341"/>
      <c r="V60" s="343"/>
      <c r="W60" s="343"/>
      <c r="X60" s="343"/>
      <c r="Y60" s="343"/>
      <c r="Z60" s="343"/>
      <c r="AA60" s="343"/>
      <c r="AB60" s="343"/>
      <c r="AC60" s="343"/>
      <c r="AD60" s="343"/>
      <c r="AE60" s="343"/>
      <c r="AF60" s="343"/>
      <c r="AG60" s="343"/>
      <c r="AH60" s="343"/>
      <c r="AI60" s="343"/>
      <c r="AJ60" s="343"/>
      <c r="AK60" s="343"/>
      <c r="AL60" s="348"/>
      <c r="AM60" s="349"/>
      <c r="AN60" s="350"/>
    </row>
    <row r="61" spans="1:40" ht="22.5" customHeight="1" x14ac:dyDescent="0.25">
      <c r="A61" s="3630"/>
      <c r="B61" s="3630"/>
      <c r="C61" s="3274"/>
      <c r="D61" s="3274"/>
      <c r="E61" s="351">
        <v>34</v>
      </c>
      <c r="F61" s="191" t="s">
        <v>301</v>
      </c>
      <c r="G61" s="305"/>
      <c r="H61" s="300"/>
      <c r="I61" s="306"/>
      <c r="J61" s="306"/>
      <c r="K61" s="306"/>
      <c r="L61" s="305"/>
      <c r="M61" s="300"/>
      <c r="N61" s="301"/>
      <c r="O61" s="302"/>
      <c r="P61" s="300"/>
      <c r="Q61" s="300"/>
      <c r="R61" s="300"/>
      <c r="S61" s="320"/>
      <c r="T61" s="304"/>
      <c r="U61" s="305"/>
      <c r="V61" s="306"/>
      <c r="W61" s="306"/>
      <c r="X61" s="306"/>
      <c r="Y61" s="306"/>
      <c r="Z61" s="306"/>
      <c r="AA61" s="306"/>
      <c r="AB61" s="306"/>
      <c r="AC61" s="306"/>
      <c r="AD61" s="306"/>
      <c r="AE61" s="306"/>
      <c r="AF61" s="306"/>
      <c r="AG61" s="306"/>
      <c r="AH61" s="306"/>
      <c r="AI61" s="306"/>
      <c r="AJ61" s="306"/>
      <c r="AK61" s="306"/>
      <c r="AL61" s="307"/>
      <c r="AM61" s="308"/>
      <c r="AN61" s="309"/>
    </row>
    <row r="62" spans="1:40" ht="60" x14ac:dyDescent="0.25">
      <c r="A62" s="3630"/>
      <c r="B62" s="3630"/>
      <c r="C62" s="3274"/>
      <c r="D62" s="3274"/>
      <c r="E62" s="3274"/>
      <c r="F62" s="3274"/>
      <c r="G62" s="238">
        <v>122</v>
      </c>
      <c r="H62" s="209" t="s">
        <v>302</v>
      </c>
      <c r="I62" s="315" t="s">
        <v>303</v>
      </c>
      <c r="J62" s="324">
        <v>1</v>
      </c>
      <c r="K62" s="3639" t="s">
        <v>304</v>
      </c>
      <c r="L62" s="3639" t="s">
        <v>305</v>
      </c>
      <c r="M62" s="3097" t="s">
        <v>306</v>
      </c>
      <c r="N62" s="262">
        <f>S62/O62</f>
        <v>0.24602162822149062</v>
      </c>
      <c r="O62" s="3216">
        <v>168373530</v>
      </c>
      <c r="P62" s="3221" t="s">
        <v>307</v>
      </c>
      <c r="Q62" s="352" t="s">
        <v>308</v>
      </c>
      <c r="R62" s="209" t="s">
        <v>309</v>
      </c>
      <c r="S62" s="240">
        <v>41423530</v>
      </c>
      <c r="T62" s="241">
        <v>20</v>
      </c>
      <c r="U62" s="208" t="s">
        <v>175</v>
      </c>
      <c r="V62" s="3275">
        <v>4608</v>
      </c>
      <c r="W62" s="3275">
        <v>4992</v>
      </c>
      <c r="X62" s="3275">
        <v>2714</v>
      </c>
      <c r="Y62" s="3275">
        <v>765</v>
      </c>
      <c r="Z62" s="3275">
        <v>5500</v>
      </c>
      <c r="AA62" s="3275">
        <v>594</v>
      </c>
      <c r="AB62" s="3275">
        <v>40</v>
      </c>
      <c r="AC62" s="3275">
        <v>50</v>
      </c>
      <c r="AD62" s="3275"/>
      <c r="AE62" s="3275"/>
      <c r="AF62" s="3275"/>
      <c r="AG62" s="3275"/>
      <c r="AH62" s="3275">
        <v>100</v>
      </c>
      <c r="AI62" s="3275">
        <v>10</v>
      </c>
      <c r="AJ62" s="3275"/>
      <c r="AK62" s="3275">
        <f>V62+W62</f>
        <v>9600</v>
      </c>
      <c r="AL62" s="3643">
        <v>43466</v>
      </c>
      <c r="AM62" s="3643">
        <v>43830</v>
      </c>
      <c r="AN62" s="3610" t="s">
        <v>211</v>
      </c>
    </row>
    <row r="63" spans="1:40" ht="99.75" x14ac:dyDescent="0.25">
      <c r="A63" s="3630"/>
      <c r="B63" s="3630"/>
      <c r="C63" s="3274"/>
      <c r="D63" s="3274"/>
      <c r="E63" s="3274"/>
      <c r="F63" s="3274"/>
      <c r="G63" s="238">
        <v>123</v>
      </c>
      <c r="H63" s="209" t="s">
        <v>310</v>
      </c>
      <c r="I63" s="313" t="s">
        <v>311</v>
      </c>
      <c r="J63" s="353">
        <v>4</v>
      </c>
      <c r="K63" s="3641"/>
      <c r="L63" s="3641"/>
      <c r="M63" s="3560"/>
      <c r="N63" s="262">
        <f>S63/O62</f>
        <v>0.11284434079394784</v>
      </c>
      <c r="O63" s="3217"/>
      <c r="P63" s="3619"/>
      <c r="Q63" s="354" t="s">
        <v>312</v>
      </c>
      <c r="R63" s="209" t="s">
        <v>313</v>
      </c>
      <c r="S63" s="240">
        <v>19000000</v>
      </c>
      <c r="T63" s="241">
        <v>20</v>
      </c>
      <c r="U63" s="208" t="s">
        <v>175</v>
      </c>
      <c r="V63" s="3276"/>
      <c r="W63" s="3276"/>
      <c r="X63" s="3276"/>
      <c r="Y63" s="3276"/>
      <c r="Z63" s="3276"/>
      <c r="AA63" s="3276"/>
      <c r="AB63" s="3276"/>
      <c r="AC63" s="3276"/>
      <c r="AD63" s="3276"/>
      <c r="AE63" s="3276"/>
      <c r="AF63" s="3276"/>
      <c r="AG63" s="3276"/>
      <c r="AH63" s="3276"/>
      <c r="AI63" s="3276"/>
      <c r="AJ63" s="3276"/>
      <c r="AK63" s="3276"/>
      <c r="AL63" s="3644"/>
      <c r="AM63" s="3644"/>
      <c r="AN63" s="3611"/>
    </row>
    <row r="64" spans="1:40" ht="75" x14ac:dyDescent="0.25">
      <c r="A64" s="3630"/>
      <c r="B64" s="3630"/>
      <c r="C64" s="3274"/>
      <c r="D64" s="3274"/>
      <c r="E64" s="3274"/>
      <c r="F64" s="3274"/>
      <c r="G64" s="238">
        <v>124</v>
      </c>
      <c r="H64" s="209" t="s">
        <v>314</v>
      </c>
      <c r="I64" s="315" t="s">
        <v>315</v>
      </c>
      <c r="J64" s="353">
        <v>150</v>
      </c>
      <c r="K64" s="3641"/>
      <c r="L64" s="3641"/>
      <c r="M64" s="3560"/>
      <c r="N64" s="262">
        <f>S64/O62</f>
        <v>0.26340244811639929</v>
      </c>
      <c r="O64" s="3217"/>
      <c r="P64" s="3619"/>
      <c r="Q64" s="315" t="s">
        <v>312</v>
      </c>
      <c r="R64" s="209" t="s">
        <v>316</v>
      </c>
      <c r="S64" s="240">
        <v>44350000</v>
      </c>
      <c r="T64" s="241">
        <v>20</v>
      </c>
      <c r="U64" s="208" t="s">
        <v>175</v>
      </c>
      <c r="V64" s="3276"/>
      <c r="W64" s="3276"/>
      <c r="X64" s="3276"/>
      <c r="Y64" s="3276"/>
      <c r="Z64" s="3276"/>
      <c r="AA64" s="3276"/>
      <c r="AB64" s="3276"/>
      <c r="AC64" s="3276"/>
      <c r="AD64" s="3276"/>
      <c r="AE64" s="3276"/>
      <c r="AF64" s="3276"/>
      <c r="AG64" s="3276"/>
      <c r="AH64" s="3276"/>
      <c r="AI64" s="3276"/>
      <c r="AJ64" s="3276"/>
      <c r="AK64" s="3276"/>
      <c r="AL64" s="3644"/>
      <c r="AM64" s="3644"/>
      <c r="AN64" s="3611"/>
    </row>
    <row r="65" spans="1:40" ht="75" x14ac:dyDescent="0.25">
      <c r="A65" s="3630"/>
      <c r="B65" s="3630"/>
      <c r="C65" s="3274"/>
      <c r="D65" s="3274"/>
      <c r="E65" s="3274"/>
      <c r="F65" s="3274"/>
      <c r="G65" s="238">
        <v>125</v>
      </c>
      <c r="H65" s="209" t="s">
        <v>317</v>
      </c>
      <c r="I65" s="313" t="s">
        <v>318</v>
      </c>
      <c r="J65" s="355">
        <v>760</v>
      </c>
      <c r="K65" s="3641"/>
      <c r="L65" s="3641"/>
      <c r="M65" s="3560"/>
      <c r="N65" s="262">
        <f>S65/O62</f>
        <v>0.2619176541585842</v>
      </c>
      <c r="O65" s="3217"/>
      <c r="P65" s="3619"/>
      <c r="Q65" s="313" t="s">
        <v>319</v>
      </c>
      <c r="R65" s="209" t="s">
        <v>320</v>
      </c>
      <c r="S65" s="240">
        <v>44100000</v>
      </c>
      <c r="T65" s="241">
        <v>20</v>
      </c>
      <c r="U65" s="208" t="s">
        <v>175</v>
      </c>
      <c r="V65" s="3276"/>
      <c r="W65" s="3276"/>
      <c r="X65" s="3276"/>
      <c r="Y65" s="3276"/>
      <c r="Z65" s="3276"/>
      <c r="AA65" s="3276"/>
      <c r="AB65" s="3276"/>
      <c r="AC65" s="3276"/>
      <c r="AD65" s="3276"/>
      <c r="AE65" s="3276"/>
      <c r="AF65" s="3276"/>
      <c r="AG65" s="3276"/>
      <c r="AH65" s="3276"/>
      <c r="AI65" s="3276"/>
      <c r="AJ65" s="3276"/>
      <c r="AK65" s="3276"/>
      <c r="AL65" s="3644"/>
      <c r="AM65" s="3644"/>
      <c r="AN65" s="3611"/>
    </row>
    <row r="66" spans="1:40" ht="75" x14ac:dyDescent="0.25">
      <c r="A66" s="3630"/>
      <c r="B66" s="3630"/>
      <c r="C66" s="3274"/>
      <c r="D66" s="3274"/>
      <c r="E66" s="3274"/>
      <c r="F66" s="3274"/>
      <c r="G66" s="238">
        <v>126</v>
      </c>
      <c r="H66" s="209" t="s">
        <v>321</v>
      </c>
      <c r="I66" s="313" t="s">
        <v>322</v>
      </c>
      <c r="J66" s="353">
        <v>3326</v>
      </c>
      <c r="K66" s="3640"/>
      <c r="L66" s="3640"/>
      <c r="M66" s="3098"/>
      <c r="N66" s="262">
        <f>S66/O62</f>
        <v>0.11581392870957805</v>
      </c>
      <c r="O66" s="3218"/>
      <c r="P66" s="3222"/>
      <c r="Q66" s="313" t="s">
        <v>323</v>
      </c>
      <c r="R66" s="209" t="s">
        <v>324</v>
      </c>
      <c r="S66" s="240">
        <v>19500000</v>
      </c>
      <c r="T66" s="241">
        <v>20</v>
      </c>
      <c r="U66" s="208" t="s">
        <v>175</v>
      </c>
      <c r="V66" s="3277"/>
      <c r="W66" s="3277"/>
      <c r="X66" s="3277"/>
      <c r="Y66" s="3277"/>
      <c r="Z66" s="3277"/>
      <c r="AA66" s="3277"/>
      <c r="AB66" s="3277"/>
      <c r="AC66" s="3277"/>
      <c r="AD66" s="3277"/>
      <c r="AE66" s="3277"/>
      <c r="AF66" s="3277"/>
      <c r="AG66" s="3277"/>
      <c r="AH66" s="3277"/>
      <c r="AI66" s="3277"/>
      <c r="AJ66" s="3277"/>
      <c r="AK66" s="3277"/>
      <c r="AL66" s="3645"/>
      <c r="AM66" s="3645"/>
      <c r="AN66" s="3612"/>
    </row>
    <row r="67" spans="1:40" ht="32.25" customHeight="1" x14ac:dyDescent="0.25">
      <c r="A67" s="356" t="s">
        <v>325</v>
      </c>
      <c r="B67" s="154"/>
      <c r="C67" s="154"/>
      <c r="D67" s="154"/>
      <c r="E67" s="154"/>
      <c r="F67" s="154"/>
      <c r="G67" s="357"/>
      <c r="H67" s="358"/>
      <c r="I67" s="359"/>
      <c r="J67" s="360"/>
      <c r="K67" s="360"/>
      <c r="L67" s="361"/>
      <c r="M67" s="358"/>
      <c r="N67" s="362"/>
      <c r="O67" s="363">
        <f>SUM(O8:O66)</f>
        <v>3738794686</v>
      </c>
      <c r="P67" s="358"/>
      <c r="Q67" s="364"/>
      <c r="R67" s="358"/>
      <c r="S67" s="363">
        <f>SUM(S8:S66)</f>
        <v>3738794686</v>
      </c>
      <c r="T67" s="365"/>
      <c r="U67" s="361"/>
      <c r="V67" s="154"/>
      <c r="W67" s="154"/>
      <c r="X67" s="154"/>
      <c r="Y67" s="154"/>
      <c r="Z67" s="154"/>
      <c r="AA67" s="154"/>
      <c r="AB67" s="154"/>
      <c r="AC67" s="154"/>
      <c r="AD67" s="154"/>
      <c r="AE67" s="154"/>
      <c r="AF67" s="154"/>
      <c r="AG67" s="154"/>
      <c r="AH67" s="154"/>
      <c r="AI67" s="154"/>
      <c r="AJ67" s="154"/>
      <c r="AK67" s="154"/>
      <c r="AL67" s="366"/>
      <c r="AM67" s="367"/>
      <c r="AN67" s="368"/>
    </row>
    <row r="68" spans="1:40" ht="15" x14ac:dyDescent="0.25">
      <c r="I68" s="371"/>
      <c r="J68" s="156"/>
      <c r="S68" s="156"/>
    </row>
    <row r="69" spans="1:40" ht="15" x14ac:dyDescent="0.25">
      <c r="I69" s="371"/>
    </row>
    <row r="70" spans="1:40" ht="15" x14ac:dyDescent="0.25">
      <c r="I70" s="379"/>
      <c r="W70" s="380"/>
      <c r="X70" s="380"/>
      <c r="Y70" s="381"/>
      <c r="Z70" s="382"/>
      <c r="AA70" s="382"/>
      <c r="AB70" s="382"/>
      <c r="AC70" s="382"/>
      <c r="AD70" s="382"/>
    </row>
    <row r="71" spans="1:40" ht="15" x14ac:dyDescent="0.25">
      <c r="I71" s="379"/>
    </row>
    <row r="76" spans="1:40" ht="15" x14ac:dyDescent="0.25">
      <c r="H76" s="3668" t="s">
        <v>326</v>
      </c>
      <c r="I76" s="3668"/>
      <c r="J76" s="3668"/>
    </row>
    <row r="77" spans="1:40" x14ac:dyDescent="0.25">
      <c r="H77" s="155" t="s">
        <v>327</v>
      </c>
    </row>
  </sheetData>
  <sheetProtection password="F3F4" sheet="1" objects="1" scenarios="1"/>
  <mergeCells count="366">
    <mergeCell ref="H76:J76"/>
    <mergeCell ref="AI62:AI66"/>
    <mergeCell ref="AJ62:AJ66"/>
    <mergeCell ref="AK62:AK66"/>
    <mergeCell ref="AL62:AL66"/>
    <mergeCell ref="AM62:AM66"/>
    <mergeCell ref="AN62:AN66"/>
    <mergeCell ref="AC62:AC66"/>
    <mergeCell ref="AD62:AD66"/>
    <mergeCell ref="AE62:AE66"/>
    <mergeCell ref="AF62:AF66"/>
    <mergeCell ref="AG62:AG66"/>
    <mergeCell ref="AH62:AH66"/>
    <mergeCell ref="W62:W66"/>
    <mergeCell ref="X62:X66"/>
    <mergeCell ref="Y62:Y66"/>
    <mergeCell ref="Z62:Z66"/>
    <mergeCell ref="AA62:AA66"/>
    <mergeCell ref="AB62:AB66"/>
    <mergeCell ref="AN57:AN58"/>
    <mergeCell ref="A60:B66"/>
    <mergeCell ref="C61:D66"/>
    <mergeCell ref="E62:F66"/>
    <mergeCell ref="K62:K66"/>
    <mergeCell ref="L62:L66"/>
    <mergeCell ref="M62:M66"/>
    <mergeCell ref="O62:O66"/>
    <mergeCell ref="P62:P66"/>
    <mergeCell ref="V62:V66"/>
    <mergeCell ref="AH57:AH58"/>
    <mergeCell ref="AI57:AI58"/>
    <mergeCell ref="AJ57:AJ58"/>
    <mergeCell ref="AK57:AK58"/>
    <mergeCell ref="AL57:AL58"/>
    <mergeCell ref="AM57:AM58"/>
    <mergeCell ref="AB57:AB58"/>
    <mergeCell ref="AC57:AC58"/>
    <mergeCell ref="AD57:AD58"/>
    <mergeCell ref="AE57:AE58"/>
    <mergeCell ref="AF57:AF58"/>
    <mergeCell ref="AG57:AG58"/>
    <mergeCell ref="V57:V58"/>
    <mergeCell ref="W57:W58"/>
    <mergeCell ref="X57:X58"/>
    <mergeCell ref="Y57:Y58"/>
    <mergeCell ref="Z57:Z58"/>
    <mergeCell ref="AA57:AA58"/>
    <mergeCell ref="Q54:Q55"/>
    <mergeCell ref="E57:F58"/>
    <mergeCell ref="K57:K58"/>
    <mergeCell ref="L57:L58"/>
    <mergeCell ref="M57:M58"/>
    <mergeCell ref="O57:O58"/>
    <mergeCell ref="P57:P58"/>
    <mergeCell ref="W52:W55"/>
    <mergeCell ref="X52:X55"/>
    <mergeCell ref="Y52:Y55"/>
    <mergeCell ref="Z52:Z55"/>
    <mergeCell ref="AA52:AA55"/>
    <mergeCell ref="AI52:AI55"/>
    <mergeCell ref="AJ52:AJ55"/>
    <mergeCell ref="AK52:AK55"/>
    <mergeCell ref="AL52:AL55"/>
    <mergeCell ref="AM52:AM55"/>
    <mergeCell ref="AN52:AN55"/>
    <mergeCell ref="AC52:AC55"/>
    <mergeCell ref="AD52:AD55"/>
    <mergeCell ref="AE52:AE55"/>
    <mergeCell ref="AF52:AF55"/>
    <mergeCell ref="AG52:AG55"/>
    <mergeCell ref="AH52:AH55"/>
    <mergeCell ref="AB52:AB55"/>
    <mergeCell ref="AM49:AM50"/>
    <mergeCell ref="AN49:AN50"/>
    <mergeCell ref="F51:AN51"/>
    <mergeCell ref="E52:F55"/>
    <mergeCell ref="K52:K55"/>
    <mergeCell ref="L52:L55"/>
    <mergeCell ref="M52:M55"/>
    <mergeCell ref="O52:O55"/>
    <mergeCell ref="P52:P55"/>
    <mergeCell ref="V52:V55"/>
    <mergeCell ref="AG49:AG50"/>
    <mergeCell ref="AH49:AH50"/>
    <mergeCell ref="AI49:AI50"/>
    <mergeCell ref="AJ49:AJ50"/>
    <mergeCell ref="AK49:AK50"/>
    <mergeCell ref="AL49:AL50"/>
    <mergeCell ref="AA49:AA50"/>
    <mergeCell ref="AB49:AB50"/>
    <mergeCell ref="AC49:AC50"/>
    <mergeCell ref="AD49:AD50"/>
    <mergeCell ref="AE49:AE50"/>
    <mergeCell ref="AF49:AF50"/>
    <mergeCell ref="U49:U50"/>
    <mergeCell ref="V49:V50"/>
    <mergeCell ref="W49:W50"/>
    <mergeCell ref="X49:X50"/>
    <mergeCell ref="Y49:Y50"/>
    <mergeCell ref="Z49:Z50"/>
    <mergeCell ref="N49:N50"/>
    <mergeCell ref="O49:O50"/>
    <mergeCell ref="P49:P50"/>
    <mergeCell ref="R49:R50"/>
    <mergeCell ref="S49:S50"/>
    <mergeCell ref="T49:T50"/>
    <mergeCell ref="AL47:AL48"/>
    <mergeCell ref="AM47:AM48"/>
    <mergeCell ref="AN47:AN48"/>
    <mergeCell ref="G49:G50"/>
    <mergeCell ref="H49:H50"/>
    <mergeCell ref="I49:I50"/>
    <mergeCell ref="J49:J50"/>
    <mergeCell ref="K49:K50"/>
    <mergeCell ref="L49:L50"/>
    <mergeCell ref="M49:M50"/>
    <mergeCell ref="AF47:AF48"/>
    <mergeCell ref="AG47:AG48"/>
    <mergeCell ref="AH47:AH48"/>
    <mergeCell ref="AI47:AI48"/>
    <mergeCell ref="AJ47:AJ48"/>
    <mergeCell ref="AK47:AK48"/>
    <mergeCell ref="Z47:Z48"/>
    <mergeCell ref="AA47:AA48"/>
    <mergeCell ref="AB47:AB48"/>
    <mergeCell ref="AC47:AC48"/>
    <mergeCell ref="AD47:AD48"/>
    <mergeCell ref="AE47:AE48"/>
    <mergeCell ref="P47:P48"/>
    <mergeCell ref="Q47:Q48"/>
    <mergeCell ref="V47:V48"/>
    <mergeCell ref="W47:W48"/>
    <mergeCell ref="X47:X48"/>
    <mergeCell ref="Y47:Y48"/>
    <mergeCell ref="AN42:AN46"/>
    <mergeCell ref="G47:G48"/>
    <mergeCell ref="H47:H48"/>
    <mergeCell ref="I47:I48"/>
    <mergeCell ref="J47:J48"/>
    <mergeCell ref="K47:K48"/>
    <mergeCell ref="L47:L48"/>
    <mergeCell ref="M47:M48"/>
    <mergeCell ref="N47:N48"/>
    <mergeCell ref="O47:O48"/>
    <mergeCell ref="AH42:AH46"/>
    <mergeCell ref="AI42:AI46"/>
    <mergeCell ref="AJ42:AJ46"/>
    <mergeCell ref="AK42:AK46"/>
    <mergeCell ref="AL42:AL46"/>
    <mergeCell ref="AM42:AM46"/>
    <mergeCell ref="AB42:AB46"/>
    <mergeCell ref="AC42:AC46"/>
    <mergeCell ref="AD42:AD46"/>
    <mergeCell ref="AE42:AE46"/>
    <mergeCell ref="AF42:AF46"/>
    <mergeCell ref="AG42:AG46"/>
    <mergeCell ref="V42:V46"/>
    <mergeCell ref="W42:W46"/>
    <mergeCell ref="X42:X46"/>
    <mergeCell ref="Y42:Y46"/>
    <mergeCell ref="Z42:Z46"/>
    <mergeCell ref="AA42:AA46"/>
    <mergeCell ref="L42:L46"/>
    <mergeCell ref="M42:M46"/>
    <mergeCell ref="N42:N43"/>
    <mergeCell ref="O42:O46"/>
    <mergeCell ref="P42:P46"/>
    <mergeCell ref="Q42:Q44"/>
    <mergeCell ref="E42:F50"/>
    <mergeCell ref="G42:G43"/>
    <mergeCell ref="H42:H43"/>
    <mergeCell ref="I42:I43"/>
    <mergeCell ref="J42:J43"/>
    <mergeCell ref="K42:K46"/>
    <mergeCell ref="AN33:AN40"/>
    <mergeCell ref="G35:G36"/>
    <mergeCell ref="H35:H36"/>
    <mergeCell ref="I35:I36"/>
    <mergeCell ref="J35:J36"/>
    <mergeCell ref="N35:N36"/>
    <mergeCell ref="G37:G39"/>
    <mergeCell ref="H37:H39"/>
    <mergeCell ref="I37:I39"/>
    <mergeCell ref="J37:J39"/>
    <mergeCell ref="AH33:AH40"/>
    <mergeCell ref="AI33:AI40"/>
    <mergeCell ref="AJ33:AJ40"/>
    <mergeCell ref="AK33:AK40"/>
    <mergeCell ref="AL33:AL40"/>
    <mergeCell ref="AM33:AM40"/>
    <mergeCell ref="AB33:AB40"/>
    <mergeCell ref="AC33:AC40"/>
    <mergeCell ref="L33:L40"/>
    <mergeCell ref="M33:M40"/>
    <mergeCell ref="N33:N34"/>
    <mergeCell ref="O33:O40"/>
    <mergeCell ref="P33:P40"/>
    <mergeCell ref="Q33:Q36"/>
    <mergeCell ref="N37:N39"/>
    <mergeCell ref="Q37:Q40"/>
    <mergeCell ref="AM25:AM29"/>
    <mergeCell ref="X25:X29"/>
    <mergeCell ref="Y25:Y29"/>
    <mergeCell ref="Z25:Z29"/>
    <mergeCell ref="AD33:AD40"/>
    <mergeCell ref="AE33:AE40"/>
    <mergeCell ref="AF33:AF40"/>
    <mergeCell ref="AG33:AG40"/>
    <mergeCell ref="V33:V40"/>
    <mergeCell ref="W33:W40"/>
    <mergeCell ref="X33:X40"/>
    <mergeCell ref="Y33:Y40"/>
    <mergeCell ref="Z33:Z40"/>
    <mergeCell ref="AA33:AA40"/>
    <mergeCell ref="AN25:AN29"/>
    <mergeCell ref="A31:B58"/>
    <mergeCell ref="C32:D58"/>
    <mergeCell ref="E33:F40"/>
    <mergeCell ref="G33:G34"/>
    <mergeCell ref="H33:H34"/>
    <mergeCell ref="I33:I34"/>
    <mergeCell ref="J33:J34"/>
    <mergeCell ref="K33:K40"/>
    <mergeCell ref="AG25:AG29"/>
    <mergeCell ref="AH25:AH29"/>
    <mergeCell ref="AI25:AI29"/>
    <mergeCell ref="AJ25:AJ29"/>
    <mergeCell ref="AK25:AK29"/>
    <mergeCell ref="AL25:AL29"/>
    <mergeCell ref="AA25:AA29"/>
    <mergeCell ref="AB25:AB29"/>
    <mergeCell ref="AC25:AC29"/>
    <mergeCell ref="AD25:AD29"/>
    <mergeCell ref="AE25:AE29"/>
    <mergeCell ref="AF25:AF29"/>
    <mergeCell ref="Q25:Q29"/>
    <mergeCell ref="V25:V29"/>
    <mergeCell ref="W25:W29"/>
    <mergeCell ref="AJ22:AJ24"/>
    <mergeCell ref="AK22:AK24"/>
    <mergeCell ref="AL22:AL24"/>
    <mergeCell ref="AM22:AM24"/>
    <mergeCell ref="AN22:AN24"/>
    <mergeCell ref="K25:K29"/>
    <mergeCell ref="L25:L29"/>
    <mergeCell ref="M25:M29"/>
    <mergeCell ref="O25:O29"/>
    <mergeCell ref="P25:P29"/>
    <mergeCell ref="AD22:AD24"/>
    <mergeCell ref="AE22:AE24"/>
    <mergeCell ref="AF22:AF24"/>
    <mergeCell ref="AG22:AG24"/>
    <mergeCell ref="AH22:AH24"/>
    <mergeCell ref="AI22:AI24"/>
    <mergeCell ref="X22:X24"/>
    <mergeCell ref="Y22:Y24"/>
    <mergeCell ref="Z22:Z24"/>
    <mergeCell ref="AA22:AA24"/>
    <mergeCell ref="AB22:AB24"/>
    <mergeCell ref="AC22:AC24"/>
    <mergeCell ref="N22:N23"/>
    <mergeCell ref="O22:O24"/>
    <mergeCell ref="P22:P24"/>
    <mergeCell ref="Q22:Q24"/>
    <mergeCell ref="V22:V24"/>
    <mergeCell ref="W22:W24"/>
    <mergeCell ref="AM19:AM20"/>
    <mergeCell ref="AN19:AN20"/>
    <mergeCell ref="E22:F29"/>
    <mergeCell ref="G22:G23"/>
    <mergeCell ref="H22:H23"/>
    <mergeCell ref="I22:I23"/>
    <mergeCell ref="J22:J23"/>
    <mergeCell ref="K22:K24"/>
    <mergeCell ref="L22:L24"/>
    <mergeCell ref="M22:M24"/>
    <mergeCell ref="AG19:AG20"/>
    <mergeCell ref="AH19:AH20"/>
    <mergeCell ref="AI19:AI20"/>
    <mergeCell ref="AJ19:AJ20"/>
    <mergeCell ref="AK19:AK20"/>
    <mergeCell ref="AL19:AL20"/>
    <mergeCell ref="AA19:AA20"/>
    <mergeCell ref="AB19:AB20"/>
    <mergeCell ref="AC19:AC20"/>
    <mergeCell ref="AD19:AD20"/>
    <mergeCell ref="AE19:AE20"/>
    <mergeCell ref="AF19:AF20"/>
    <mergeCell ref="Q19:Q20"/>
    <mergeCell ref="V19:V20"/>
    <mergeCell ref="W19:W20"/>
    <mergeCell ref="X19:X20"/>
    <mergeCell ref="Y19:Y20"/>
    <mergeCell ref="Z19:Z20"/>
    <mergeCell ref="AM12:AM17"/>
    <mergeCell ref="X12:X17"/>
    <mergeCell ref="Y12:Y17"/>
    <mergeCell ref="Z12:Z17"/>
    <mergeCell ref="AN12:AN17"/>
    <mergeCell ref="Q15:Q17"/>
    <mergeCell ref="F18:I18"/>
    <mergeCell ref="E19:F20"/>
    <mergeCell ref="K19:K20"/>
    <mergeCell ref="L19:L20"/>
    <mergeCell ref="M19:M20"/>
    <mergeCell ref="O19:O20"/>
    <mergeCell ref="P19:P20"/>
    <mergeCell ref="AG12:AG17"/>
    <mergeCell ref="AH12:AH17"/>
    <mergeCell ref="AI12:AI17"/>
    <mergeCell ref="AJ12:AJ17"/>
    <mergeCell ref="AK12:AK17"/>
    <mergeCell ref="AL12:AL17"/>
    <mergeCell ref="AA12:AA17"/>
    <mergeCell ref="AB12:AB17"/>
    <mergeCell ref="AC12:AC17"/>
    <mergeCell ref="AD12:AD17"/>
    <mergeCell ref="AE12:AE17"/>
    <mergeCell ref="AF12:AF17"/>
    <mergeCell ref="Q12:Q14"/>
    <mergeCell ref="V12:V17"/>
    <mergeCell ref="W12:W17"/>
    <mergeCell ref="K12:K17"/>
    <mergeCell ref="L12:L17"/>
    <mergeCell ref="M12:M17"/>
    <mergeCell ref="N12:N13"/>
    <mergeCell ref="O12:O17"/>
    <mergeCell ref="P12:P17"/>
    <mergeCell ref="AM7:AM8"/>
    <mergeCell ref="AN7:AN8"/>
    <mergeCell ref="B9:D9"/>
    <mergeCell ref="A10:B29"/>
    <mergeCell ref="C11:D29"/>
    <mergeCell ref="E12:F17"/>
    <mergeCell ref="G12:G13"/>
    <mergeCell ref="H12:H13"/>
    <mergeCell ref="I12:I13"/>
    <mergeCell ref="J12:J13"/>
    <mergeCell ref="U7:U8"/>
    <mergeCell ref="V7:W7"/>
    <mergeCell ref="X7:AA7"/>
    <mergeCell ref="AB7:AG7"/>
    <mergeCell ref="AH7:AJ7"/>
    <mergeCell ref="AL7:AL8"/>
    <mergeCell ref="N7:N8"/>
    <mergeCell ref="O7:O8"/>
    <mergeCell ref="A1:AL4"/>
    <mergeCell ref="A5:J6"/>
    <mergeCell ref="K5:AN5"/>
    <mergeCell ref="V6:AJ6"/>
    <mergeCell ref="A7:A8"/>
    <mergeCell ref="B7:B8"/>
    <mergeCell ref="C7:C8"/>
    <mergeCell ref="D7:D8"/>
    <mergeCell ref="E7:E8"/>
    <mergeCell ref="F7:F8"/>
    <mergeCell ref="P7:P8"/>
    <mergeCell ref="Q7:Q8"/>
    <mergeCell ref="R7:R8"/>
    <mergeCell ref="S7:S8"/>
    <mergeCell ref="G7:G8"/>
    <mergeCell ref="H7:H8"/>
    <mergeCell ref="I7:I8"/>
    <mergeCell ref="K7:K8"/>
    <mergeCell ref="L7:L8"/>
    <mergeCell ref="M7:M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1"/>
  <sheetViews>
    <sheetView showGridLines="0" zoomScale="60" zoomScaleNormal="60" workbookViewId="0">
      <pane ySplit="8" topLeftCell="A9" activePane="bottomLeft" state="frozen"/>
      <selection pane="bottomLeft" activeCell="J19" sqref="J19:J23"/>
    </sheetView>
  </sheetViews>
  <sheetFormatPr baseColWidth="10" defaultColWidth="11.42578125" defaultRowHeight="15" x14ac:dyDescent="0.2"/>
  <cols>
    <col min="1" max="1" width="13.42578125" style="1498" customWidth="1"/>
    <col min="2" max="2" width="5.42578125" style="1498" customWidth="1"/>
    <col min="3" max="3" width="14.85546875" style="1498" customWidth="1"/>
    <col min="4" max="4" width="15.28515625" style="1498" customWidth="1"/>
    <col min="5" max="5" width="20.42578125" style="1498" customWidth="1"/>
    <col min="6" max="6" width="15.42578125" style="1498" customWidth="1"/>
    <col min="7" max="7" width="26" style="1498" customWidth="1"/>
    <col min="8" max="8" width="15.7109375" style="1498" customWidth="1"/>
    <col min="9" max="9" width="32.42578125" style="1498" customWidth="1"/>
    <col min="10" max="10" width="26.7109375" style="1498" customWidth="1"/>
    <col min="11" max="11" width="27.28515625" style="1498" customWidth="1"/>
    <col min="12" max="12" width="46.28515625" style="1498" customWidth="1"/>
    <col min="13" max="13" width="23.42578125" style="1498" customWidth="1"/>
    <col min="14" max="14" width="33.140625" style="1498" customWidth="1"/>
    <col min="15" max="15" width="16.85546875" style="1498" customWidth="1"/>
    <col min="16" max="16" width="27.140625" style="1498" customWidth="1"/>
    <col min="17" max="17" width="34.42578125" style="1498" customWidth="1"/>
    <col min="18" max="18" width="42.140625" style="1498" customWidth="1"/>
    <col min="19" max="19" width="34.7109375" style="1498" customWidth="1"/>
    <col min="20" max="20" width="27.85546875" style="2034" customWidth="1"/>
    <col min="21" max="21" width="18.28515625" style="1498" customWidth="1"/>
    <col min="22" max="22" width="28.140625" style="1498" customWidth="1"/>
    <col min="23" max="38" width="15.7109375" style="1498" customWidth="1"/>
    <col min="39" max="39" width="20.140625" style="1498" customWidth="1"/>
    <col min="40" max="40" width="26.28515625" style="1498" customWidth="1"/>
    <col min="41" max="41" width="22.140625" style="1498" customWidth="1"/>
    <col min="42" max="54" width="14.85546875" style="1498" customWidth="1"/>
    <col min="55" max="16384" width="11.42578125" style="1498"/>
  </cols>
  <sheetData>
    <row r="1" spans="1:42" ht="15.75" customHeight="1" x14ac:dyDescent="0.2">
      <c r="A1" s="3532" t="s">
        <v>1772</v>
      </c>
      <c r="B1" s="3532"/>
      <c r="C1" s="3532"/>
      <c r="D1" s="3532"/>
      <c r="E1" s="3532"/>
      <c r="F1" s="3532"/>
      <c r="G1" s="3532"/>
      <c r="H1" s="3532"/>
      <c r="I1" s="3532"/>
      <c r="J1" s="3532"/>
      <c r="K1" s="3532"/>
      <c r="L1" s="3532"/>
      <c r="M1" s="3532"/>
      <c r="N1" s="3532"/>
      <c r="O1" s="3532"/>
      <c r="P1" s="3532"/>
      <c r="Q1" s="3532"/>
      <c r="R1" s="3532"/>
      <c r="S1" s="3532"/>
      <c r="T1" s="3532"/>
      <c r="U1" s="3532"/>
      <c r="V1" s="3532"/>
      <c r="W1" s="3532"/>
      <c r="X1" s="3532"/>
      <c r="Y1" s="3532"/>
      <c r="Z1" s="3532"/>
      <c r="AA1" s="3532"/>
      <c r="AB1" s="3532"/>
      <c r="AC1" s="3532"/>
      <c r="AD1" s="3532"/>
      <c r="AE1" s="3532"/>
      <c r="AF1" s="3532"/>
      <c r="AG1" s="3532"/>
      <c r="AH1" s="3532"/>
      <c r="AI1" s="3532"/>
      <c r="AJ1" s="3532"/>
      <c r="AK1" s="3532"/>
      <c r="AL1" s="3532"/>
      <c r="AM1" s="3532"/>
      <c r="AN1" s="1934" t="s">
        <v>1</v>
      </c>
      <c r="AO1" s="1934" t="s">
        <v>2</v>
      </c>
    </row>
    <row r="2" spans="1:42" ht="24" customHeight="1" x14ac:dyDescent="0.2">
      <c r="A2" s="3532"/>
      <c r="B2" s="3532"/>
      <c r="C2" s="3532"/>
      <c r="D2" s="3532"/>
      <c r="E2" s="3532"/>
      <c r="F2" s="3532"/>
      <c r="G2" s="3532"/>
      <c r="H2" s="3532"/>
      <c r="I2" s="3532"/>
      <c r="J2" s="3532"/>
      <c r="K2" s="3532"/>
      <c r="L2" s="3532"/>
      <c r="M2" s="3532"/>
      <c r="N2" s="3532"/>
      <c r="O2" s="3532"/>
      <c r="P2" s="3532"/>
      <c r="Q2" s="3532"/>
      <c r="R2" s="3532"/>
      <c r="S2" s="3532"/>
      <c r="T2" s="3532"/>
      <c r="U2" s="3532"/>
      <c r="V2" s="3532"/>
      <c r="W2" s="3532"/>
      <c r="X2" s="3532"/>
      <c r="Y2" s="3532"/>
      <c r="Z2" s="3532"/>
      <c r="AA2" s="3532"/>
      <c r="AB2" s="3532"/>
      <c r="AC2" s="3532"/>
      <c r="AD2" s="3532"/>
      <c r="AE2" s="3532"/>
      <c r="AF2" s="3532"/>
      <c r="AG2" s="3532"/>
      <c r="AH2" s="3532"/>
      <c r="AI2" s="3532"/>
      <c r="AJ2" s="3532"/>
      <c r="AK2" s="3532"/>
      <c r="AL2" s="3532"/>
      <c r="AM2" s="3532"/>
      <c r="AN2" s="1935" t="s">
        <v>3</v>
      </c>
      <c r="AO2" s="1936">
        <v>6</v>
      </c>
    </row>
    <row r="3" spans="1:42" ht="18" customHeight="1" x14ac:dyDescent="0.2">
      <c r="A3" s="3532"/>
      <c r="B3" s="3532"/>
      <c r="C3" s="3532"/>
      <c r="D3" s="3532"/>
      <c r="E3" s="3532"/>
      <c r="F3" s="3532"/>
      <c r="G3" s="3532"/>
      <c r="H3" s="3532"/>
      <c r="I3" s="3532"/>
      <c r="J3" s="3532"/>
      <c r="K3" s="3532"/>
      <c r="L3" s="3532"/>
      <c r="M3" s="3532"/>
      <c r="N3" s="3532"/>
      <c r="O3" s="3532"/>
      <c r="P3" s="3532"/>
      <c r="Q3" s="3532"/>
      <c r="R3" s="3532"/>
      <c r="S3" s="3532"/>
      <c r="T3" s="3532"/>
      <c r="U3" s="3532"/>
      <c r="V3" s="3532"/>
      <c r="W3" s="3532"/>
      <c r="X3" s="3532"/>
      <c r="Y3" s="3532"/>
      <c r="Z3" s="3532"/>
      <c r="AA3" s="3532"/>
      <c r="AB3" s="3532"/>
      <c r="AC3" s="3532"/>
      <c r="AD3" s="3532"/>
      <c r="AE3" s="3532"/>
      <c r="AF3" s="3532"/>
      <c r="AG3" s="3532"/>
      <c r="AH3" s="3532"/>
      <c r="AI3" s="3532"/>
      <c r="AJ3" s="3532"/>
      <c r="AK3" s="3532"/>
      <c r="AL3" s="3532"/>
      <c r="AM3" s="3532"/>
      <c r="AN3" s="1934" t="s">
        <v>5</v>
      </c>
      <c r="AO3" s="1937" t="s">
        <v>6</v>
      </c>
    </row>
    <row r="4" spans="1:42" s="1940" customFormat="1" ht="15" customHeight="1" x14ac:dyDescent="0.2">
      <c r="A4" s="3048"/>
      <c r="B4" s="3048"/>
      <c r="C4" s="3048"/>
      <c r="D4" s="3048"/>
      <c r="E4" s="3048"/>
      <c r="F4" s="3048"/>
      <c r="G4" s="3048"/>
      <c r="H4" s="3048"/>
      <c r="I4" s="3048"/>
      <c r="J4" s="3048"/>
      <c r="K4" s="3048"/>
      <c r="L4" s="3048"/>
      <c r="M4" s="3048"/>
      <c r="N4" s="3048"/>
      <c r="O4" s="3048"/>
      <c r="P4" s="3048"/>
      <c r="Q4" s="3048"/>
      <c r="R4" s="3048"/>
      <c r="S4" s="3048"/>
      <c r="T4" s="3048"/>
      <c r="U4" s="3048"/>
      <c r="V4" s="3048"/>
      <c r="W4" s="3048"/>
      <c r="X4" s="3048"/>
      <c r="Y4" s="3048"/>
      <c r="Z4" s="3048"/>
      <c r="AA4" s="3048"/>
      <c r="AB4" s="3048"/>
      <c r="AC4" s="3048"/>
      <c r="AD4" s="3048"/>
      <c r="AE4" s="3048"/>
      <c r="AF4" s="3048"/>
      <c r="AG4" s="3048"/>
      <c r="AH4" s="3048"/>
      <c r="AI4" s="3048"/>
      <c r="AJ4" s="3048"/>
      <c r="AK4" s="3048"/>
      <c r="AL4" s="3048"/>
      <c r="AM4" s="3048"/>
      <c r="AN4" s="1938" t="s">
        <v>7</v>
      </c>
      <c r="AO4" s="1939" t="s">
        <v>329</v>
      </c>
    </row>
    <row r="5" spans="1:42" ht="19.5" customHeight="1" x14ac:dyDescent="0.2">
      <c r="A5" s="3669" t="s">
        <v>9</v>
      </c>
      <c r="B5" s="3050"/>
      <c r="C5" s="3050"/>
      <c r="D5" s="3050"/>
      <c r="E5" s="3050"/>
      <c r="F5" s="3050"/>
      <c r="G5" s="3050"/>
      <c r="H5" s="3050"/>
      <c r="I5" s="3050"/>
      <c r="J5" s="3050"/>
      <c r="K5" s="3050"/>
      <c r="L5" s="1941"/>
      <c r="M5" s="1941"/>
      <c r="N5" s="3053" t="s">
        <v>10</v>
      </c>
      <c r="O5" s="3053"/>
      <c r="P5" s="3053"/>
      <c r="Q5" s="3053"/>
      <c r="R5" s="3053"/>
      <c r="S5" s="3053"/>
      <c r="T5" s="3053"/>
      <c r="U5" s="3053"/>
      <c r="V5" s="3053"/>
      <c r="W5" s="3053"/>
      <c r="X5" s="3053"/>
      <c r="Y5" s="3053"/>
      <c r="Z5" s="3053"/>
      <c r="AA5" s="3053"/>
      <c r="AB5" s="3053"/>
      <c r="AC5" s="3053"/>
      <c r="AD5" s="3053"/>
      <c r="AE5" s="3053"/>
      <c r="AF5" s="3053"/>
      <c r="AG5" s="3053"/>
      <c r="AH5" s="3053"/>
      <c r="AI5" s="3053"/>
      <c r="AJ5" s="3053"/>
      <c r="AK5" s="3053"/>
      <c r="AL5" s="3053"/>
      <c r="AM5" s="3053"/>
      <c r="AN5" s="3053"/>
      <c r="AO5" s="3053"/>
    </row>
    <row r="6" spans="1:42" ht="14.25" customHeight="1" x14ac:dyDescent="0.2">
      <c r="A6" s="3055"/>
      <c r="B6" s="3052"/>
      <c r="C6" s="3052"/>
      <c r="D6" s="3052"/>
      <c r="E6" s="3052"/>
      <c r="F6" s="3052"/>
      <c r="G6" s="3052"/>
      <c r="H6" s="3052"/>
      <c r="I6" s="3052"/>
      <c r="J6" s="3052"/>
      <c r="K6" s="3052"/>
      <c r="L6" s="1941"/>
      <c r="M6" s="1942"/>
      <c r="N6" s="3670"/>
      <c r="O6" s="3671"/>
      <c r="P6" s="3671"/>
      <c r="Q6" s="3671"/>
      <c r="R6" s="3671"/>
      <c r="S6" s="3671"/>
      <c r="T6" s="3671"/>
      <c r="U6" s="3671"/>
      <c r="V6" s="3672"/>
      <c r="W6" s="1215"/>
      <c r="X6" s="1215"/>
      <c r="Y6" s="1215"/>
      <c r="Z6" s="1215"/>
      <c r="AA6" s="1215"/>
      <c r="AB6" s="1215"/>
      <c r="AC6" s="1215"/>
      <c r="AD6" s="1215"/>
      <c r="AE6" s="1215"/>
      <c r="AF6" s="1215"/>
      <c r="AG6" s="1215"/>
      <c r="AH6" s="1215"/>
      <c r="AI6" s="1215"/>
      <c r="AJ6" s="1215"/>
      <c r="AK6" s="1215"/>
      <c r="AL6" s="1215"/>
      <c r="AM6" s="3670"/>
      <c r="AN6" s="3671"/>
      <c r="AO6" s="3672"/>
    </row>
    <row r="7" spans="1:42" ht="15.75" x14ac:dyDescent="0.2">
      <c r="A7" s="3040" t="s">
        <v>12</v>
      </c>
      <c r="B7" s="3040" t="s">
        <v>13</v>
      </c>
      <c r="C7" s="3040"/>
      <c r="D7" s="3040" t="s">
        <v>12</v>
      </c>
      <c r="E7" s="3040" t="s">
        <v>14</v>
      </c>
      <c r="F7" s="3040" t="s">
        <v>12</v>
      </c>
      <c r="G7" s="3040" t="s">
        <v>15</v>
      </c>
      <c r="H7" s="3040" t="s">
        <v>12</v>
      </c>
      <c r="I7" s="3040" t="s">
        <v>16</v>
      </c>
      <c r="J7" s="3040" t="s">
        <v>17</v>
      </c>
      <c r="K7" s="3392" t="s">
        <v>18</v>
      </c>
      <c r="L7" s="3040" t="s">
        <v>19</v>
      </c>
      <c r="M7" s="3041" t="s">
        <v>741</v>
      </c>
      <c r="N7" s="3040" t="s">
        <v>10</v>
      </c>
      <c r="O7" s="3040" t="s">
        <v>21</v>
      </c>
      <c r="P7" s="3040" t="s">
        <v>22</v>
      </c>
      <c r="Q7" s="3040" t="s">
        <v>23</v>
      </c>
      <c r="R7" s="3040" t="s">
        <v>24</v>
      </c>
      <c r="S7" s="3040" t="s">
        <v>25</v>
      </c>
      <c r="T7" s="3392" t="s">
        <v>22</v>
      </c>
      <c r="U7" s="3041" t="s">
        <v>12</v>
      </c>
      <c r="V7" s="3040" t="s">
        <v>26</v>
      </c>
      <c r="W7" s="3683" t="s">
        <v>27</v>
      </c>
      <c r="X7" s="3684"/>
      <c r="Y7" s="3676" t="s">
        <v>28</v>
      </c>
      <c r="Z7" s="3677"/>
      <c r="AA7" s="3677"/>
      <c r="AB7" s="3677"/>
      <c r="AC7" s="3674" t="s">
        <v>29</v>
      </c>
      <c r="AD7" s="3675"/>
      <c r="AE7" s="3675"/>
      <c r="AF7" s="3675"/>
      <c r="AG7" s="3675"/>
      <c r="AH7" s="3675"/>
      <c r="AI7" s="3676" t="s">
        <v>30</v>
      </c>
      <c r="AJ7" s="3677"/>
      <c r="AK7" s="3677"/>
      <c r="AL7" s="3678" t="s">
        <v>31</v>
      </c>
      <c r="AM7" s="3680" t="s">
        <v>32</v>
      </c>
      <c r="AN7" s="3680" t="s">
        <v>33</v>
      </c>
      <c r="AO7" s="3682" t="s">
        <v>34</v>
      </c>
    </row>
    <row r="8" spans="1:42" ht="136.5" customHeight="1" x14ac:dyDescent="0.2">
      <c r="A8" s="3040"/>
      <c r="B8" s="3040"/>
      <c r="C8" s="3040"/>
      <c r="D8" s="3040"/>
      <c r="E8" s="3040"/>
      <c r="F8" s="3040"/>
      <c r="G8" s="3040"/>
      <c r="H8" s="3040"/>
      <c r="I8" s="3040"/>
      <c r="J8" s="3040"/>
      <c r="K8" s="3673"/>
      <c r="L8" s="3040"/>
      <c r="M8" s="3042"/>
      <c r="N8" s="3040"/>
      <c r="O8" s="3040"/>
      <c r="P8" s="3040"/>
      <c r="Q8" s="3040"/>
      <c r="R8" s="3040"/>
      <c r="S8" s="3040"/>
      <c r="T8" s="3394"/>
      <c r="U8" s="3042"/>
      <c r="V8" s="3040"/>
      <c r="W8" s="1216" t="s">
        <v>35</v>
      </c>
      <c r="X8" s="1217" t="s">
        <v>36</v>
      </c>
      <c r="Y8" s="1216" t="s">
        <v>37</v>
      </c>
      <c r="Z8" s="1216" t="s">
        <v>125</v>
      </c>
      <c r="AA8" s="1216" t="s">
        <v>1773</v>
      </c>
      <c r="AB8" s="1216" t="s">
        <v>127</v>
      </c>
      <c r="AC8" s="1216" t="s">
        <v>41</v>
      </c>
      <c r="AD8" s="1216" t="s">
        <v>42</v>
      </c>
      <c r="AE8" s="1216" t="s">
        <v>43</v>
      </c>
      <c r="AF8" s="1216" t="s">
        <v>44</v>
      </c>
      <c r="AG8" s="1216" t="s">
        <v>45</v>
      </c>
      <c r="AH8" s="1216" t="s">
        <v>46</v>
      </c>
      <c r="AI8" s="1216" t="s">
        <v>47</v>
      </c>
      <c r="AJ8" s="1216" t="s">
        <v>48</v>
      </c>
      <c r="AK8" s="1216" t="s">
        <v>49</v>
      </c>
      <c r="AL8" s="3679"/>
      <c r="AM8" s="3681"/>
      <c r="AN8" s="3681"/>
      <c r="AO8" s="3682"/>
    </row>
    <row r="9" spans="1:42" ht="15.75" customHeight="1" x14ac:dyDescent="0.2">
      <c r="A9" s="1943">
        <v>5</v>
      </c>
      <c r="B9" s="1944" t="s">
        <v>50</v>
      </c>
      <c r="C9" s="1944"/>
      <c r="D9" s="1944"/>
      <c r="E9" s="1944"/>
      <c r="F9" s="1944"/>
      <c r="G9" s="1944"/>
      <c r="H9" s="1944"/>
      <c r="I9" s="1945"/>
      <c r="J9" s="1945"/>
      <c r="K9" s="1944"/>
      <c r="L9" s="1946"/>
      <c r="M9" s="1945"/>
      <c r="N9" s="1947"/>
      <c r="O9" s="1948"/>
      <c r="P9" s="1945"/>
      <c r="Q9" s="1945"/>
      <c r="R9" s="1945"/>
      <c r="S9" s="1949"/>
      <c r="T9" s="1950"/>
      <c r="U9" s="1944"/>
      <c r="V9" s="1944"/>
      <c r="W9" s="1944"/>
      <c r="X9" s="1951"/>
      <c r="Y9" s="1951"/>
      <c r="Z9" s="1951"/>
      <c r="AA9" s="1951"/>
      <c r="AB9" s="1951"/>
      <c r="AC9" s="1951"/>
      <c r="AD9" s="1951"/>
      <c r="AE9" s="1951"/>
      <c r="AF9" s="1951"/>
      <c r="AG9" s="1951"/>
      <c r="AH9" s="1951"/>
      <c r="AI9" s="1951"/>
      <c r="AJ9" s="1951"/>
      <c r="AK9" s="1951"/>
      <c r="AL9" s="1951"/>
      <c r="AM9" s="1951"/>
      <c r="AN9" s="1951"/>
      <c r="AO9" s="1952"/>
    </row>
    <row r="10" spans="1:42" s="1497" customFormat="1" ht="15.75" customHeight="1" x14ac:dyDescent="0.2">
      <c r="A10" s="1953"/>
      <c r="B10" s="3685"/>
      <c r="C10" s="3686"/>
      <c r="D10" s="1954">
        <v>26</v>
      </c>
      <c r="E10" s="1955" t="s">
        <v>1556</v>
      </c>
      <c r="F10" s="1956"/>
      <c r="G10" s="1956"/>
      <c r="H10" s="1956"/>
      <c r="I10" s="1957"/>
      <c r="J10" s="1957"/>
      <c r="K10" s="1956"/>
      <c r="L10" s="1958"/>
      <c r="M10" s="1957"/>
      <c r="N10" s="1959"/>
      <c r="O10" s="1960"/>
      <c r="P10" s="1957"/>
      <c r="Q10" s="1957"/>
      <c r="R10" s="1957"/>
      <c r="S10" s="1961"/>
      <c r="T10" s="1962"/>
      <c r="U10" s="1956"/>
      <c r="V10" s="1956"/>
      <c r="W10" s="1956"/>
      <c r="X10" s="1963"/>
      <c r="Y10" s="1963"/>
      <c r="Z10" s="1963"/>
      <c r="AA10" s="1963"/>
      <c r="AB10" s="1963"/>
      <c r="AC10" s="1964"/>
      <c r="AD10" s="1965"/>
      <c r="AE10" s="1964"/>
      <c r="AF10" s="1964"/>
      <c r="AG10" s="1965"/>
      <c r="AH10" s="1966"/>
      <c r="AI10" s="1964"/>
      <c r="AJ10" s="1964"/>
      <c r="AK10" s="1965"/>
      <c r="AL10" s="1964"/>
      <c r="AM10" s="1965"/>
      <c r="AN10" s="1965"/>
      <c r="AO10" s="1965"/>
    </row>
    <row r="11" spans="1:42" s="1497" customFormat="1" ht="15.75" customHeight="1" x14ac:dyDescent="0.2">
      <c r="A11" s="1967"/>
      <c r="B11" s="3685"/>
      <c r="C11" s="3686"/>
      <c r="D11" s="3689"/>
      <c r="E11" s="3410"/>
      <c r="F11" s="1968">
        <v>83</v>
      </c>
      <c r="G11" s="1969" t="s">
        <v>1774</v>
      </c>
      <c r="H11" s="1970"/>
      <c r="I11" s="1971"/>
      <c r="J11" s="1971"/>
      <c r="K11" s="1972"/>
      <c r="L11" s="1973"/>
      <c r="M11" s="1971"/>
      <c r="N11" s="1974"/>
      <c r="O11" s="1975"/>
      <c r="P11" s="1971"/>
      <c r="Q11" s="1971"/>
      <c r="R11" s="1971"/>
      <c r="S11" s="1976"/>
      <c r="T11" s="1977"/>
      <c r="U11" s="1978"/>
      <c r="V11" s="1978"/>
      <c r="W11" s="1972"/>
      <c r="X11" s="1972"/>
      <c r="Y11" s="1972"/>
      <c r="Z11" s="1972"/>
      <c r="AA11" s="1972"/>
      <c r="AB11" s="1972"/>
      <c r="AC11" s="1972"/>
      <c r="AD11" s="1979"/>
      <c r="AE11" s="1972"/>
      <c r="AF11" s="1979"/>
      <c r="AG11" s="1971"/>
      <c r="AH11" s="1972"/>
      <c r="AI11" s="1979"/>
      <c r="AJ11" s="1972"/>
      <c r="AK11" s="1979"/>
      <c r="AL11" s="1971"/>
      <c r="AM11" s="1979"/>
      <c r="AN11" s="1971"/>
      <c r="AO11" s="1971"/>
    </row>
    <row r="12" spans="1:42" s="1497" customFormat="1" ht="37.5" customHeight="1" x14ac:dyDescent="0.2">
      <c r="A12" s="1967"/>
      <c r="B12" s="3685"/>
      <c r="C12" s="3686"/>
      <c r="D12" s="3690"/>
      <c r="E12" s="3412"/>
      <c r="F12" s="3692"/>
      <c r="G12" s="3693"/>
      <c r="H12" s="3436">
        <v>244</v>
      </c>
      <c r="I12" s="3485" t="s">
        <v>1775</v>
      </c>
      <c r="J12" s="3485" t="s">
        <v>1776</v>
      </c>
      <c r="K12" s="3436">
        <v>12</v>
      </c>
      <c r="L12" s="3436" t="s">
        <v>1777</v>
      </c>
      <c r="M12" s="3436" t="s">
        <v>1778</v>
      </c>
      <c r="N12" s="3485" t="s">
        <v>1779</v>
      </c>
      <c r="O12" s="3695">
        <f>SUM(T12:T15)/P12</f>
        <v>1</v>
      </c>
      <c r="P12" s="3696">
        <f>SUM(T12:T15)</f>
        <v>450000000</v>
      </c>
      <c r="Q12" s="3485" t="s">
        <v>1780</v>
      </c>
      <c r="R12" s="3499" t="s">
        <v>1781</v>
      </c>
      <c r="S12" s="3468" t="s">
        <v>1782</v>
      </c>
      <c r="T12" s="1980">
        <v>328040000</v>
      </c>
      <c r="U12" s="1981" t="s">
        <v>816</v>
      </c>
      <c r="V12" s="1982" t="s">
        <v>357</v>
      </c>
      <c r="W12" s="3697">
        <v>294321</v>
      </c>
      <c r="X12" s="3694">
        <v>283947</v>
      </c>
      <c r="Y12" s="3694">
        <v>135754</v>
      </c>
      <c r="Z12" s="3694">
        <v>44640</v>
      </c>
      <c r="AA12" s="3694">
        <v>308178</v>
      </c>
      <c r="AB12" s="3694">
        <v>89696</v>
      </c>
      <c r="AC12" s="3694">
        <v>2145</v>
      </c>
      <c r="AD12" s="3694">
        <v>12718</v>
      </c>
      <c r="AE12" s="3710">
        <v>26</v>
      </c>
      <c r="AF12" s="3710">
        <v>37</v>
      </c>
      <c r="AG12" s="3711">
        <v>0</v>
      </c>
      <c r="AH12" s="3711">
        <v>0</v>
      </c>
      <c r="AI12" s="3694">
        <v>52505</v>
      </c>
      <c r="AJ12" s="3694">
        <v>16897</v>
      </c>
      <c r="AK12" s="3694">
        <v>61646</v>
      </c>
      <c r="AL12" s="3707">
        <f>+Y12+Z12+AA12+AB12</f>
        <v>578268</v>
      </c>
      <c r="AM12" s="3709">
        <v>43466</v>
      </c>
      <c r="AN12" s="3709">
        <v>43830</v>
      </c>
      <c r="AO12" s="3499" t="s">
        <v>1783</v>
      </c>
      <c r="AP12" s="3698"/>
    </row>
    <row r="13" spans="1:42" s="1497" customFormat="1" ht="33" customHeight="1" x14ac:dyDescent="0.2">
      <c r="A13" s="1967"/>
      <c r="B13" s="3685"/>
      <c r="C13" s="3686"/>
      <c r="D13" s="3690"/>
      <c r="E13" s="3412"/>
      <c r="F13" s="3692"/>
      <c r="G13" s="3693"/>
      <c r="H13" s="3436"/>
      <c r="I13" s="3485"/>
      <c r="J13" s="3485"/>
      <c r="K13" s="3436"/>
      <c r="L13" s="3436"/>
      <c r="M13" s="3436"/>
      <c r="N13" s="3485"/>
      <c r="O13" s="3695"/>
      <c r="P13" s="3696"/>
      <c r="Q13" s="3485"/>
      <c r="R13" s="3499"/>
      <c r="S13" s="3470"/>
      <c r="T13" s="1983">
        <f>0+7645567</f>
        <v>7645567</v>
      </c>
      <c r="U13" s="1984">
        <v>88</v>
      </c>
      <c r="V13" s="1982" t="s">
        <v>358</v>
      </c>
      <c r="W13" s="3697"/>
      <c r="X13" s="3694"/>
      <c r="Y13" s="3694">
        <v>135912</v>
      </c>
      <c r="Z13" s="3694">
        <v>45122</v>
      </c>
      <c r="AA13" s="3694">
        <v>307101</v>
      </c>
      <c r="AB13" s="3694">
        <v>86875</v>
      </c>
      <c r="AC13" s="3694">
        <v>2145</v>
      </c>
      <c r="AD13" s="3694">
        <v>12718</v>
      </c>
      <c r="AE13" s="3710">
        <v>26</v>
      </c>
      <c r="AF13" s="3710">
        <v>37</v>
      </c>
      <c r="AG13" s="3711"/>
      <c r="AH13" s="3711"/>
      <c r="AI13" s="3694">
        <v>53164</v>
      </c>
      <c r="AJ13" s="3694">
        <v>16982</v>
      </c>
      <c r="AK13" s="3694">
        <v>6013</v>
      </c>
      <c r="AL13" s="3707"/>
      <c r="AM13" s="3709"/>
      <c r="AN13" s="3709"/>
      <c r="AO13" s="3499"/>
      <c r="AP13" s="3698"/>
    </row>
    <row r="14" spans="1:42" s="1497" customFormat="1" ht="35.25" customHeight="1" x14ac:dyDescent="0.2">
      <c r="A14" s="1967"/>
      <c r="B14" s="3685"/>
      <c r="C14" s="3686"/>
      <c r="D14" s="3690"/>
      <c r="E14" s="3412"/>
      <c r="F14" s="3692"/>
      <c r="G14" s="3693"/>
      <c r="H14" s="3436"/>
      <c r="I14" s="3485"/>
      <c r="J14" s="3485"/>
      <c r="K14" s="3436"/>
      <c r="L14" s="3436"/>
      <c r="M14" s="3436"/>
      <c r="N14" s="3485"/>
      <c r="O14" s="3695"/>
      <c r="P14" s="3696"/>
      <c r="Q14" s="3485"/>
      <c r="R14" s="3485" t="s">
        <v>1784</v>
      </c>
      <c r="S14" s="3468" t="s">
        <v>1785</v>
      </c>
      <c r="T14" s="1985">
        <v>71960000</v>
      </c>
      <c r="U14" s="1986" t="s">
        <v>816</v>
      </c>
      <c r="V14" s="1987" t="s">
        <v>357</v>
      </c>
      <c r="W14" s="3697"/>
      <c r="X14" s="3694"/>
      <c r="Y14" s="3694">
        <v>135912</v>
      </c>
      <c r="Z14" s="3694">
        <v>45122</v>
      </c>
      <c r="AA14" s="3694">
        <v>307101</v>
      </c>
      <c r="AB14" s="3694">
        <v>86875</v>
      </c>
      <c r="AC14" s="3694">
        <v>2145</v>
      </c>
      <c r="AD14" s="3694">
        <v>12718</v>
      </c>
      <c r="AE14" s="3710">
        <v>26</v>
      </c>
      <c r="AF14" s="3710">
        <v>37</v>
      </c>
      <c r="AG14" s="3711"/>
      <c r="AH14" s="3711"/>
      <c r="AI14" s="3694">
        <v>53164</v>
      </c>
      <c r="AJ14" s="3694">
        <v>16982</v>
      </c>
      <c r="AK14" s="3694">
        <v>6013</v>
      </c>
      <c r="AL14" s="3707"/>
      <c r="AM14" s="3709"/>
      <c r="AN14" s="3709"/>
      <c r="AO14" s="3499"/>
      <c r="AP14" s="1988"/>
    </row>
    <row r="15" spans="1:42" s="1497" customFormat="1" ht="39" customHeight="1" x14ac:dyDescent="0.2">
      <c r="A15" s="1967"/>
      <c r="B15" s="3685"/>
      <c r="C15" s="3686"/>
      <c r="D15" s="3690"/>
      <c r="E15" s="3412"/>
      <c r="F15" s="3692"/>
      <c r="G15" s="3693"/>
      <c r="H15" s="3436"/>
      <c r="I15" s="3485"/>
      <c r="J15" s="3485"/>
      <c r="K15" s="3436"/>
      <c r="L15" s="3436"/>
      <c r="M15" s="3436"/>
      <c r="N15" s="3485"/>
      <c r="O15" s="3695"/>
      <c r="P15" s="3696"/>
      <c r="Q15" s="3485"/>
      <c r="R15" s="3485"/>
      <c r="S15" s="3470"/>
      <c r="T15" s="1985">
        <f>0+42354433</f>
        <v>42354433</v>
      </c>
      <c r="U15" s="1986">
        <v>88</v>
      </c>
      <c r="V15" s="1987" t="s">
        <v>358</v>
      </c>
      <c r="W15" s="3697"/>
      <c r="X15" s="3694"/>
      <c r="Y15" s="3694">
        <v>135912</v>
      </c>
      <c r="Z15" s="3694">
        <v>45122</v>
      </c>
      <c r="AA15" s="3694">
        <v>307101</v>
      </c>
      <c r="AB15" s="3694">
        <v>86875</v>
      </c>
      <c r="AC15" s="3694">
        <v>2145</v>
      </c>
      <c r="AD15" s="3694">
        <v>12718</v>
      </c>
      <c r="AE15" s="3710">
        <v>26</v>
      </c>
      <c r="AF15" s="3710">
        <v>37</v>
      </c>
      <c r="AG15" s="3711"/>
      <c r="AH15" s="3711"/>
      <c r="AI15" s="3694">
        <v>53164</v>
      </c>
      <c r="AJ15" s="3694">
        <v>16982</v>
      </c>
      <c r="AK15" s="3694">
        <v>6013</v>
      </c>
      <c r="AL15" s="3708"/>
      <c r="AM15" s="3709"/>
      <c r="AN15" s="3709"/>
      <c r="AO15" s="3499"/>
    </row>
    <row r="16" spans="1:42" s="1497" customFormat="1" ht="114" customHeight="1" x14ac:dyDescent="0.2">
      <c r="A16" s="1967"/>
      <c r="B16" s="3685"/>
      <c r="C16" s="3686"/>
      <c r="D16" s="3691"/>
      <c r="E16" s="3414"/>
      <c r="F16" s="3692"/>
      <c r="G16" s="3693"/>
      <c r="H16" s="1989">
        <v>245</v>
      </c>
      <c r="I16" s="354" t="s">
        <v>1786</v>
      </c>
      <c r="J16" s="354" t="s">
        <v>1787</v>
      </c>
      <c r="K16" s="1989">
        <v>1</v>
      </c>
      <c r="L16" s="1989" t="s">
        <v>1788</v>
      </c>
      <c r="M16" s="1989" t="s">
        <v>1789</v>
      </c>
      <c r="N16" s="354" t="s">
        <v>1790</v>
      </c>
      <c r="O16" s="1990">
        <f>SUM(T16)/P16</f>
        <v>1</v>
      </c>
      <c r="P16" s="1991">
        <f>T16</f>
        <v>40000000</v>
      </c>
      <c r="Q16" s="354" t="s">
        <v>1791</v>
      </c>
      <c r="R16" s="354" t="s">
        <v>1792</v>
      </c>
      <c r="S16" s="354" t="s">
        <v>1793</v>
      </c>
      <c r="T16" s="1992">
        <v>40000000</v>
      </c>
      <c r="U16" s="1993">
        <v>20</v>
      </c>
      <c r="V16" s="1994" t="s">
        <v>62</v>
      </c>
      <c r="W16" s="1995">
        <v>294321</v>
      </c>
      <c r="X16" s="1995">
        <v>283947</v>
      </c>
      <c r="Y16" s="1996">
        <v>13754</v>
      </c>
      <c r="Z16" s="1996">
        <v>44640</v>
      </c>
      <c r="AA16" s="1996">
        <v>308178</v>
      </c>
      <c r="AB16" s="1996">
        <v>89696</v>
      </c>
      <c r="AC16" s="1996">
        <v>2145</v>
      </c>
      <c r="AD16" s="1996">
        <v>12718</v>
      </c>
      <c r="AE16" s="1996">
        <v>26</v>
      </c>
      <c r="AF16" s="1996">
        <v>37</v>
      </c>
      <c r="AG16" s="1996">
        <v>0</v>
      </c>
      <c r="AH16" s="1996">
        <v>0</v>
      </c>
      <c r="AI16" s="1996">
        <v>52505</v>
      </c>
      <c r="AJ16" s="1996">
        <v>16897</v>
      </c>
      <c r="AK16" s="1996">
        <v>61646</v>
      </c>
      <c r="AL16" s="1996">
        <f>+W16+X16</f>
        <v>578268</v>
      </c>
      <c r="AM16" s="1997">
        <v>43466</v>
      </c>
      <c r="AN16" s="1997">
        <v>43830</v>
      </c>
      <c r="AO16" s="354" t="s">
        <v>1783</v>
      </c>
      <c r="AP16" s="1998"/>
    </row>
    <row r="17" spans="1:49" ht="15.75" x14ac:dyDescent="0.2">
      <c r="A17" s="1967"/>
      <c r="B17" s="3685"/>
      <c r="C17" s="3686"/>
      <c r="D17" s="1999">
        <v>28</v>
      </c>
      <c r="E17" s="1955" t="s">
        <v>1639</v>
      </c>
      <c r="F17" s="2000"/>
      <c r="G17" s="2000"/>
      <c r="H17" s="2001"/>
      <c r="I17" s="1966"/>
      <c r="J17" s="1966"/>
      <c r="K17" s="1964"/>
      <c r="L17" s="2002"/>
      <c r="M17" s="1966"/>
      <c r="N17" s="2003"/>
      <c r="O17" s="2004"/>
      <c r="P17" s="1966"/>
      <c r="Q17" s="1966"/>
      <c r="R17" s="1966"/>
      <c r="S17" s="2005"/>
      <c r="T17" s="2006"/>
      <c r="U17" s="2002"/>
      <c r="V17" s="2002"/>
      <c r="W17" s="2002"/>
      <c r="X17" s="2002"/>
      <c r="Y17" s="2002"/>
      <c r="Z17" s="2002"/>
      <c r="AA17" s="2002"/>
      <c r="AB17" s="2002"/>
      <c r="AC17" s="2002"/>
      <c r="AD17" s="2002"/>
      <c r="AE17" s="2002"/>
      <c r="AF17" s="2002"/>
      <c r="AG17" s="2002"/>
      <c r="AH17" s="2002"/>
      <c r="AI17" s="2002"/>
      <c r="AJ17" s="2002"/>
      <c r="AK17" s="2002"/>
      <c r="AL17" s="2002"/>
      <c r="AM17" s="2002"/>
      <c r="AN17" s="2002"/>
      <c r="AO17" s="1966"/>
    </row>
    <row r="18" spans="1:49" ht="15.75" x14ac:dyDescent="0.2">
      <c r="A18" s="1967"/>
      <c r="B18" s="3685"/>
      <c r="C18" s="3686"/>
      <c r="D18" s="3699"/>
      <c r="E18" s="3702"/>
      <c r="F18" s="2007">
        <v>89</v>
      </c>
      <c r="G18" s="3705" t="s">
        <v>1794</v>
      </c>
      <c r="H18" s="3705"/>
      <c r="I18" s="3705"/>
      <c r="J18" s="3705"/>
      <c r="K18" s="3705"/>
      <c r="L18" s="2008"/>
      <c r="M18" s="3706"/>
      <c r="N18" s="3706"/>
      <c r="O18" s="3706"/>
      <c r="P18" s="3706"/>
      <c r="Q18" s="3706"/>
      <c r="R18" s="3706"/>
      <c r="S18" s="3706"/>
      <c r="T18" s="2009"/>
      <c r="U18" s="2010"/>
      <c r="V18" s="2011"/>
      <c r="W18" s="2011"/>
      <c r="X18" s="2011"/>
      <c r="Y18" s="3706"/>
      <c r="Z18" s="3706"/>
      <c r="AA18" s="3706"/>
      <c r="AB18" s="3706"/>
      <c r="AC18" s="3706"/>
      <c r="AD18" s="3706"/>
      <c r="AE18" s="3706"/>
      <c r="AF18" s="3706"/>
      <c r="AG18" s="3706"/>
      <c r="AH18" s="3706"/>
      <c r="AI18" s="3706"/>
      <c r="AJ18" s="3706"/>
      <c r="AK18" s="3706"/>
      <c r="AL18" s="3706"/>
      <c r="AM18" s="3706"/>
      <c r="AN18" s="3706"/>
      <c r="AO18" s="3706"/>
    </row>
    <row r="19" spans="1:49" ht="35.25" customHeight="1" x14ac:dyDescent="0.2">
      <c r="A19" s="1967"/>
      <c r="B19" s="3685"/>
      <c r="C19" s="3686"/>
      <c r="D19" s="3700"/>
      <c r="E19" s="3703"/>
      <c r="F19" s="3718"/>
      <c r="G19" s="3718"/>
      <c r="H19" s="3436">
        <v>288</v>
      </c>
      <c r="I19" s="3485" t="s">
        <v>1795</v>
      </c>
      <c r="J19" s="3485" t="s">
        <v>1796</v>
      </c>
      <c r="K19" s="3436">
        <v>1</v>
      </c>
      <c r="L19" s="3436" t="s">
        <v>1797</v>
      </c>
      <c r="M19" s="3436" t="s">
        <v>1798</v>
      </c>
      <c r="N19" s="3485" t="s">
        <v>1799</v>
      </c>
      <c r="O19" s="3733">
        <f>SUM(T19:T23)/P19</f>
        <v>1</v>
      </c>
      <c r="P19" s="3735">
        <f>SUM(T19:T23)</f>
        <v>1463092662</v>
      </c>
      <c r="Q19" s="3431" t="s">
        <v>1800</v>
      </c>
      <c r="R19" s="3737" t="s">
        <v>1801</v>
      </c>
      <c r="S19" s="3714" t="s">
        <v>1802</v>
      </c>
      <c r="T19" s="2012">
        <v>262242662</v>
      </c>
      <c r="U19" s="1986" t="s">
        <v>61</v>
      </c>
      <c r="V19" s="2013" t="s">
        <v>106</v>
      </c>
      <c r="W19" s="3712">
        <v>294321</v>
      </c>
      <c r="X19" s="3712">
        <v>283947</v>
      </c>
      <c r="Y19" s="3712">
        <v>13754</v>
      </c>
      <c r="Z19" s="3712">
        <v>44640</v>
      </c>
      <c r="AA19" s="3712">
        <v>308178</v>
      </c>
      <c r="AB19" s="3712">
        <v>89696</v>
      </c>
      <c r="AC19" s="3712">
        <v>2145</v>
      </c>
      <c r="AD19" s="3712">
        <v>12718</v>
      </c>
      <c r="AE19" s="3729">
        <v>26</v>
      </c>
      <c r="AF19" s="3729">
        <v>37</v>
      </c>
      <c r="AG19" s="3731">
        <v>0</v>
      </c>
      <c r="AH19" s="3731">
        <v>0</v>
      </c>
      <c r="AI19" s="3712">
        <v>52505</v>
      </c>
      <c r="AJ19" s="3712">
        <v>16897</v>
      </c>
      <c r="AK19" s="3712">
        <v>61646</v>
      </c>
      <c r="AL19" s="3712">
        <f>+W19+X19</f>
        <v>578268</v>
      </c>
      <c r="AM19" s="3724">
        <v>43466</v>
      </c>
      <c r="AN19" s="3727">
        <v>43830</v>
      </c>
      <c r="AO19" s="3430" t="s">
        <v>1783</v>
      </c>
      <c r="AP19" s="1497"/>
      <c r="AQ19" s="1497"/>
      <c r="AR19" s="1497"/>
      <c r="AS19" s="1497"/>
      <c r="AT19" s="1497"/>
      <c r="AU19" s="1497"/>
      <c r="AV19" s="1497"/>
      <c r="AW19" s="1497"/>
    </row>
    <row r="20" spans="1:49" ht="33" customHeight="1" x14ac:dyDescent="0.2">
      <c r="A20" s="1967"/>
      <c r="B20" s="3685"/>
      <c r="C20" s="3686"/>
      <c r="D20" s="3700"/>
      <c r="E20" s="3703"/>
      <c r="F20" s="3718"/>
      <c r="G20" s="3718"/>
      <c r="H20" s="3436"/>
      <c r="I20" s="3485"/>
      <c r="J20" s="3485"/>
      <c r="K20" s="3436"/>
      <c r="L20" s="3436"/>
      <c r="M20" s="3436"/>
      <c r="N20" s="3485"/>
      <c r="O20" s="3734"/>
      <c r="P20" s="3735"/>
      <c r="Q20" s="3431"/>
      <c r="R20" s="3737"/>
      <c r="S20" s="3738"/>
      <c r="T20" s="2014">
        <f>0+694757338</f>
        <v>694757338</v>
      </c>
      <c r="U20" s="1986">
        <v>88</v>
      </c>
      <c r="V20" s="2013" t="s">
        <v>358</v>
      </c>
      <c r="W20" s="3712"/>
      <c r="X20" s="3712"/>
      <c r="Y20" s="3712"/>
      <c r="Z20" s="3712"/>
      <c r="AA20" s="3712"/>
      <c r="AB20" s="3712"/>
      <c r="AC20" s="3712"/>
      <c r="AD20" s="3712"/>
      <c r="AE20" s="3729"/>
      <c r="AF20" s="3729"/>
      <c r="AG20" s="3732"/>
      <c r="AH20" s="3732"/>
      <c r="AI20" s="3712"/>
      <c r="AJ20" s="3712"/>
      <c r="AK20" s="3712"/>
      <c r="AL20" s="3712"/>
      <c r="AM20" s="3724"/>
      <c r="AN20" s="3728"/>
      <c r="AO20" s="3430"/>
      <c r="AP20" s="1497"/>
      <c r="AQ20" s="1497"/>
      <c r="AR20" s="1497"/>
      <c r="AS20" s="1497"/>
      <c r="AT20" s="1497"/>
      <c r="AU20" s="1497"/>
      <c r="AV20" s="1497"/>
      <c r="AW20" s="1497"/>
    </row>
    <row r="21" spans="1:49" ht="55.5" customHeight="1" x14ac:dyDescent="0.2">
      <c r="A21" s="1967"/>
      <c r="B21" s="3685"/>
      <c r="C21" s="3686"/>
      <c r="D21" s="3700"/>
      <c r="E21" s="3703"/>
      <c r="F21" s="3718"/>
      <c r="G21" s="3718"/>
      <c r="H21" s="3436"/>
      <c r="I21" s="3485"/>
      <c r="J21" s="3485"/>
      <c r="K21" s="3436"/>
      <c r="L21" s="3436"/>
      <c r="M21" s="3436"/>
      <c r="N21" s="3485"/>
      <c r="O21" s="3734"/>
      <c r="P21" s="3696"/>
      <c r="Q21" s="3485"/>
      <c r="R21" s="3737"/>
      <c r="S21" s="2015" t="s">
        <v>1803</v>
      </c>
      <c r="T21" s="2016">
        <v>30000000</v>
      </c>
      <c r="U21" s="2017" t="s">
        <v>61</v>
      </c>
      <c r="V21" s="2013" t="s">
        <v>106</v>
      </c>
      <c r="W21" s="3712"/>
      <c r="X21" s="3712"/>
      <c r="Y21" s="3712"/>
      <c r="Z21" s="3712"/>
      <c r="AA21" s="3712"/>
      <c r="AB21" s="3712"/>
      <c r="AC21" s="3712"/>
      <c r="AD21" s="3712"/>
      <c r="AE21" s="3729"/>
      <c r="AF21" s="3729"/>
      <c r="AG21" s="3732"/>
      <c r="AH21" s="3732"/>
      <c r="AI21" s="3712"/>
      <c r="AJ21" s="3712"/>
      <c r="AK21" s="3712"/>
      <c r="AL21" s="3712"/>
      <c r="AM21" s="3725"/>
      <c r="AN21" s="3728"/>
      <c r="AO21" s="3499"/>
      <c r="AP21" s="1497"/>
      <c r="AQ21" s="1497"/>
      <c r="AR21" s="1497"/>
      <c r="AS21" s="1497"/>
      <c r="AT21" s="1497"/>
      <c r="AU21" s="1497"/>
      <c r="AV21" s="1497"/>
      <c r="AW21" s="1497"/>
    </row>
    <row r="22" spans="1:49" ht="30" customHeight="1" x14ac:dyDescent="0.2">
      <c r="A22" s="1967"/>
      <c r="B22" s="3409"/>
      <c r="C22" s="3410"/>
      <c r="D22" s="3700"/>
      <c r="E22" s="3703"/>
      <c r="F22" s="3719"/>
      <c r="G22" s="3719"/>
      <c r="H22" s="3437"/>
      <c r="I22" s="3417"/>
      <c r="J22" s="3417"/>
      <c r="K22" s="3437"/>
      <c r="L22" s="3437"/>
      <c r="M22" s="3437"/>
      <c r="N22" s="3417"/>
      <c r="O22" s="3734"/>
      <c r="P22" s="3736"/>
      <c r="Q22" s="3417"/>
      <c r="R22" s="3714" t="s">
        <v>1804</v>
      </c>
      <c r="S22" s="3716" t="s">
        <v>1805</v>
      </c>
      <c r="T22" s="2018">
        <v>320850000</v>
      </c>
      <c r="U22" s="2017" t="s">
        <v>61</v>
      </c>
      <c r="V22" s="2019" t="s">
        <v>62</v>
      </c>
      <c r="W22" s="3713"/>
      <c r="X22" s="3723"/>
      <c r="Y22" s="3723"/>
      <c r="Z22" s="3723"/>
      <c r="AA22" s="3723"/>
      <c r="AB22" s="3723"/>
      <c r="AC22" s="3723"/>
      <c r="AD22" s="3723"/>
      <c r="AE22" s="3730"/>
      <c r="AF22" s="3730"/>
      <c r="AG22" s="3732"/>
      <c r="AH22" s="3732"/>
      <c r="AI22" s="3723"/>
      <c r="AJ22" s="3723"/>
      <c r="AK22" s="3723"/>
      <c r="AL22" s="3723"/>
      <c r="AM22" s="3726"/>
      <c r="AN22" s="3728"/>
      <c r="AO22" s="3428"/>
      <c r="AP22" s="1497"/>
      <c r="AQ22" s="1497"/>
      <c r="AR22" s="1497"/>
      <c r="AS22" s="1497"/>
      <c r="AT22" s="1497"/>
      <c r="AU22" s="1497"/>
      <c r="AV22" s="1497"/>
      <c r="AW22" s="1497"/>
    </row>
    <row r="23" spans="1:49" ht="36" customHeight="1" thickBot="1" x14ac:dyDescent="0.25">
      <c r="A23" s="2020"/>
      <c r="B23" s="3687"/>
      <c r="C23" s="3688"/>
      <c r="D23" s="3701"/>
      <c r="E23" s="3704"/>
      <c r="F23" s="3719"/>
      <c r="G23" s="3719"/>
      <c r="H23" s="3437"/>
      <c r="I23" s="3417"/>
      <c r="J23" s="3417"/>
      <c r="K23" s="3437"/>
      <c r="L23" s="3437"/>
      <c r="M23" s="3437"/>
      <c r="N23" s="3417"/>
      <c r="O23" s="3734"/>
      <c r="P23" s="3736"/>
      <c r="Q23" s="3417"/>
      <c r="R23" s="3715"/>
      <c r="S23" s="3717"/>
      <c r="T23" s="2021">
        <f>0+155242662</f>
        <v>155242662</v>
      </c>
      <c r="U23" s="2017">
        <v>88</v>
      </c>
      <c r="V23" s="2019" t="s">
        <v>358</v>
      </c>
      <c r="W23" s="3713"/>
      <c r="X23" s="3723"/>
      <c r="Y23" s="3723"/>
      <c r="Z23" s="3723"/>
      <c r="AA23" s="3723"/>
      <c r="AB23" s="3723"/>
      <c r="AC23" s="3723"/>
      <c r="AD23" s="3723"/>
      <c r="AE23" s="3730"/>
      <c r="AF23" s="3730"/>
      <c r="AG23" s="3732"/>
      <c r="AH23" s="3732"/>
      <c r="AI23" s="3723"/>
      <c r="AJ23" s="3723"/>
      <c r="AK23" s="3723"/>
      <c r="AL23" s="3723"/>
      <c r="AM23" s="3726"/>
      <c r="AN23" s="3728"/>
      <c r="AO23" s="3428"/>
      <c r="AP23" s="1497"/>
      <c r="AQ23" s="1497"/>
      <c r="AR23" s="1497"/>
      <c r="AS23" s="1497"/>
      <c r="AT23" s="1497"/>
      <c r="AU23" s="1497"/>
      <c r="AV23" s="1497"/>
      <c r="AW23" s="1497"/>
    </row>
    <row r="24" spans="1:49" s="1514" customFormat="1" ht="16.5" thickBot="1" x14ac:dyDescent="0.3">
      <c r="A24" s="2022"/>
      <c r="B24" s="2023"/>
      <c r="C24" s="2023"/>
      <c r="D24" s="2023"/>
      <c r="E24" s="2024"/>
      <c r="F24" s="3720" t="s">
        <v>325</v>
      </c>
      <c r="G24" s="3721"/>
      <c r="H24" s="3721"/>
      <c r="I24" s="3721"/>
      <c r="J24" s="3721"/>
      <c r="K24" s="3721"/>
      <c r="L24" s="3721"/>
      <c r="M24" s="3721"/>
      <c r="N24" s="3721"/>
      <c r="O24" s="3722"/>
      <c r="P24" s="2025">
        <f>+P12+P16+P19</f>
        <v>1953092662</v>
      </c>
      <c r="Q24" s="2022"/>
      <c r="R24" s="2023"/>
      <c r="S24" s="2026"/>
      <c r="T24" s="2027">
        <f>SUM(T12:T23)</f>
        <v>1953092662</v>
      </c>
      <c r="U24" s="2028"/>
      <c r="V24" s="2029"/>
      <c r="W24" s="2029"/>
      <c r="X24" s="2029"/>
      <c r="Y24" s="2029"/>
      <c r="Z24" s="2029"/>
      <c r="AA24" s="2029"/>
      <c r="AB24" s="2029"/>
      <c r="AC24" s="2029"/>
      <c r="AD24" s="2029"/>
      <c r="AE24" s="2029"/>
      <c r="AF24" s="2029"/>
      <c r="AG24" s="2029"/>
      <c r="AH24" s="2029"/>
      <c r="AI24" s="2029"/>
      <c r="AJ24" s="2029"/>
      <c r="AK24" s="2029"/>
      <c r="AL24" s="2029"/>
      <c r="AM24" s="2030"/>
      <c r="AN24" s="2031"/>
      <c r="AO24" s="2032"/>
    </row>
    <row r="25" spans="1:49" x14ac:dyDescent="0.2">
      <c r="P25" s="2033"/>
    </row>
    <row r="26" spans="1:49" x14ac:dyDescent="0.2">
      <c r="P26" s="2035"/>
    </row>
    <row r="30" spans="1:49" ht="15.75" x14ac:dyDescent="0.25">
      <c r="K30" s="2036" t="s">
        <v>1806</v>
      </c>
      <c r="L30" s="2037"/>
      <c r="M30" s="2037"/>
    </row>
    <row r="31" spans="1:49" ht="15.75" x14ac:dyDescent="0.25">
      <c r="K31" s="1516" t="s">
        <v>1037</v>
      </c>
      <c r="L31" s="1516"/>
    </row>
  </sheetData>
  <sheetProtection password="EC34" sheet="1" objects="1" scenarios="1"/>
  <mergeCells count="117">
    <mergeCell ref="F24:O24"/>
    <mergeCell ref="AJ19:AJ23"/>
    <mergeCell ref="AK19:AK23"/>
    <mergeCell ref="AL19:AL23"/>
    <mergeCell ref="AM19:AM23"/>
    <mergeCell ref="AN19:AN23"/>
    <mergeCell ref="AO19:AO23"/>
    <mergeCell ref="AD19:AD23"/>
    <mergeCell ref="AE19:AE23"/>
    <mergeCell ref="AF19:AF23"/>
    <mergeCell ref="AG19:AG23"/>
    <mergeCell ref="AH19:AH23"/>
    <mergeCell ref="AI19:AI23"/>
    <mergeCell ref="X19:X23"/>
    <mergeCell ref="Y19:Y23"/>
    <mergeCell ref="Z19:Z23"/>
    <mergeCell ref="AA19:AA23"/>
    <mergeCell ref="AB19:AB23"/>
    <mergeCell ref="AC19:AC23"/>
    <mergeCell ref="O19:O23"/>
    <mergeCell ref="P19:P23"/>
    <mergeCell ref="Q19:Q23"/>
    <mergeCell ref="R19:R21"/>
    <mergeCell ref="S19:S20"/>
    <mergeCell ref="W19:W23"/>
    <mergeCell ref="R22:R23"/>
    <mergeCell ref="S22:S23"/>
    <mergeCell ref="AK18:AL18"/>
    <mergeCell ref="AM18:AO18"/>
    <mergeCell ref="F19:G23"/>
    <mergeCell ref="H19:H23"/>
    <mergeCell ref="I19:I23"/>
    <mergeCell ref="J19:J23"/>
    <mergeCell ref="K19:K23"/>
    <mergeCell ref="L19:L23"/>
    <mergeCell ref="M19:M23"/>
    <mergeCell ref="N19:N23"/>
    <mergeCell ref="AP12:AP13"/>
    <mergeCell ref="R14:R15"/>
    <mergeCell ref="S14:S15"/>
    <mergeCell ref="D18:D23"/>
    <mergeCell ref="E18:E23"/>
    <mergeCell ref="G18:K18"/>
    <mergeCell ref="M18:S18"/>
    <mergeCell ref="Y18:AB18"/>
    <mergeCell ref="AC18:AF18"/>
    <mergeCell ref="AG18:AJ18"/>
    <mergeCell ref="AJ12:AJ15"/>
    <mergeCell ref="AK12:AK15"/>
    <mergeCell ref="AL12:AL15"/>
    <mergeCell ref="AM12:AM15"/>
    <mergeCell ref="AN12:AN15"/>
    <mergeCell ref="AO12:AO15"/>
    <mergeCell ref="AD12:AD15"/>
    <mergeCell ref="AE12:AE15"/>
    <mergeCell ref="AF12:AF15"/>
    <mergeCell ref="AG12:AG15"/>
    <mergeCell ref="AH12:AH15"/>
    <mergeCell ref="AI12:AI15"/>
    <mergeCell ref="X12:X15"/>
    <mergeCell ref="Y12:Y15"/>
    <mergeCell ref="Z12:Z15"/>
    <mergeCell ref="AA12:AA15"/>
    <mergeCell ref="AB12:AB15"/>
    <mergeCell ref="AC12:AC15"/>
    <mergeCell ref="O12:O15"/>
    <mergeCell ref="P12:P15"/>
    <mergeCell ref="Q12:Q15"/>
    <mergeCell ref="R12:R13"/>
    <mergeCell ref="S12:S13"/>
    <mergeCell ref="W12:W15"/>
    <mergeCell ref="I12:I15"/>
    <mergeCell ref="J12:J15"/>
    <mergeCell ref="K12:K15"/>
    <mergeCell ref="L12:L15"/>
    <mergeCell ref="M12:M15"/>
    <mergeCell ref="N12:N15"/>
    <mergeCell ref="B10:C23"/>
    <mergeCell ref="D11:D16"/>
    <mergeCell ref="E11:E16"/>
    <mergeCell ref="F12:F16"/>
    <mergeCell ref="G12:G16"/>
    <mergeCell ref="H12:H15"/>
    <mergeCell ref="AL7:AL8"/>
    <mergeCell ref="AM7:AM8"/>
    <mergeCell ref="AN7:AN8"/>
    <mergeCell ref="AO7:AO8"/>
    <mergeCell ref="S7:S8"/>
    <mergeCell ref="T7:T8"/>
    <mergeCell ref="U7:U8"/>
    <mergeCell ref="V7:V8"/>
    <mergeCell ref="W7:X7"/>
    <mergeCell ref="Y7:AB7"/>
    <mergeCell ref="A1:AM4"/>
    <mergeCell ref="A5:K6"/>
    <mergeCell ref="N5:AO5"/>
    <mergeCell ref="N6:V6"/>
    <mergeCell ref="AM6:AO6"/>
    <mergeCell ref="A7:A8"/>
    <mergeCell ref="B7:C8"/>
    <mergeCell ref="D7:D8"/>
    <mergeCell ref="E7:E8"/>
    <mergeCell ref="F7:F8"/>
    <mergeCell ref="M7:M8"/>
    <mergeCell ref="N7:N8"/>
    <mergeCell ref="O7:O8"/>
    <mergeCell ref="P7:P8"/>
    <mergeCell ref="Q7:Q8"/>
    <mergeCell ref="R7:R8"/>
    <mergeCell ref="G7:G8"/>
    <mergeCell ref="H7:H8"/>
    <mergeCell ref="I7:I8"/>
    <mergeCell ref="J7:J8"/>
    <mergeCell ref="K7:K8"/>
    <mergeCell ref="L7:L8"/>
    <mergeCell ref="AC7:AH7"/>
    <mergeCell ref="AI7:AK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PA ADMINISTRATIVA</vt:lpstr>
      <vt:lpstr>PA PLANEACION</vt:lpstr>
      <vt:lpstr>PA HACIENDA</vt:lpstr>
      <vt:lpstr>PA AGUAS INFRA</vt:lpstr>
      <vt:lpstr>PA INTERIOR</vt:lpstr>
      <vt:lpstr>PA CULTURA</vt:lpstr>
      <vt:lpstr>PA TURISMO</vt:lpstr>
      <vt:lpstr>PA AGRICULTURA</vt:lpstr>
      <vt:lpstr>PA PRIVADA</vt:lpstr>
      <vt:lpstr>PA EDUCACION</vt:lpstr>
      <vt:lpstr>PA FAMILIA</vt:lpstr>
      <vt:lpstr>PA REPR JUDICIAL</vt:lpstr>
      <vt:lpstr>PA SALUD</vt:lpstr>
      <vt:lpstr>PA INDEPORTES</vt:lpstr>
      <vt:lpstr>PA PROMOTORA</vt:lpstr>
      <vt:lpstr>PA IDTQ</vt:lpstr>
      <vt:lpstr>'PA PLANEACION'!Área_de_impresión</vt:lpstr>
      <vt:lpstr>'PA PLANEACION'!Títulos_a_imprimir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dcterms:created xsi:type="dcterms:W3CDTF">2019-05-03T13:17:55Z</dcterms:created>
  <dcterms:modified xsi:type="dcterms:W3CDTF">2019-05-07T23:03:14Z</dcterms:modified>
</cp:coreProperties>
</file>