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ndicadores de Desempeño\"/>
    </mc:Choice>
  </mc:AlternateContent>
  <workbookProtection workbookAlgorithmName="SHA-512" workbookHashValue="qsQhNy98f1iBc3zuKeGXPRlQ3r/pEWLJt5dxBse9aZmNJUGWwHQnlj0fUPasTJCX1zjt6KixEHooGbYHx+OtpQ==" workbookSaltValue="b9bpwDX4FLjWpTJAO/3EGg==" workbookSpinCount="100000" lockStructure="1"/>
  <bookViews>
    <workbookView xWindow="0" yWindow="0" windowWidth="22770" windowHeight="9360"/>
  </bookViews>
  <sheets>
    <sheet name="Representación Judicial" sheetId="16" r:id="rId1"/>
    <sheet name="Agricultura" sheetId="15" r:id="rId2"/>
    <sheet name="Familia" sheetId="14" r:id="rId3"/>
    <sheet name="Turismo" sheetId="13" r:id="rId4"/>
    <sheet name="Hacienda" sheetId="12" r:id="rId5"/>
    <sheet name="Aguas e Infraestructura" sheetId="11" r:id="rId6"/>
    <sheet name="Administrativa" sheetId="9" r:id="rId7"/>
    <sheet name="Salud" sheetId="7" r:id="rId8"/>
    <sheet name="Planeación" sheetId="6" r:id="rId9"/>
    <sheet name="Privada" sheetId="2" r:id="rId10"/>
    <sheet name="Cultura" sheetId="4" r:id="rId11"/>
    <sheet name="Educación" sheetId="8" r:id="rId12"/>
    <sheet name="Interior" sheetId="10" r:id="rId13"/>
  </sheets>
  <externalReferences>
    <externalReference r:id="rId14"/>
  </externalReferences>
  <definedNames>
    <definedName name="_xlnm.Print_Area" localSheetId="5">'Aguas e Infraestructura'!$A$1:$J$27</definedName>
    <definedName name="_xlnm.Print_Area" localSheetId="10">Cultura!$A$1:$M$39</definedName>
    <definedName name="_xlnm.Print_Area" localSheetId="8">Planeación!$A$1:$N$58</definedName>
    <definedName name="_xlnm.Print_Area" localSheetId="3">Turismo!$A$1:$M$55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5" i="16" l="1"/>
  <c r="F15" i="16" s="1"/>
  <c r="M7" i="16"/>
  <c r="K7" i="16"/>
  <c r="J7" i="16"/>
  <c r="F14" i="16" l="1"/>
  <c r="F13" i="16"/>
  <c r="F12" i="16"/>
  <c r="E36" i="15" l="1"/>
  <c r="F36" i="15" s="1"/>
  <c r="M26" i="15"/>
  <c r="M25" i="15"/>
  <c r="M24" i="15"/>
  <c r="M23" i="15"/>
  <c r="M22" i="15"/>
  <c r="L22" i="15"/>
  <c r="K22" i="15"/>
  <c r="J22" i="15"/>
  <c r="M21" i="15"/>
  <c r="M20" i="15"/>
  <c r="M19" i="15"/>
  <c r="M18" i="15"/>
  <c r="K18" i="15"/>
  <c r="J18" i="15"/>
  <c r="M17" i="15"/>
  <c r="L17" i="15"/>
  <c r="K17" i="15"/>
  <c r="J17" i="15"/>
  <c r="M16" i="15"/>
  <c r="M15" i="15"/>
  <c r="M14" i="15"/>
  <c r="L14" i="15"/>
  <c r="K14" i="15"/>
  <c r="J14" i="15"/>
  <c r="M13" i="15"/>
  <c r="M12" i="15"/>
  <c r="M11" i="15"/>
  <c r="M10" i="15"/>
  <c r="M9" i="15"/>
  <c r="L9" i="15"/>
  <c r="L27" i="15" s="1"/>
  <c r="K9" i="15"/>
  <c r="K27" i="15" s="1"/>
  <c r="J9" i="15"/>
  <c r="J27" i="15" s="1"/>
  <c r="M8" i="15"/>
  <c r="M7" i="15"/>
  <c r="M6" i="15"/>
  <c r="F34" i="15" l="1"/>
  <c r="F35" i="15"/>
  <c r="F33" i="15"/>
  <c r="E37" i="14" l="1"/>
  <c r="F37" i="14" s="1"/>
  <c r="F36" i="14"/>
  <c r="F35" i="14"/>
  <c r="M26" i="14"/>
  <c r="M25" i="14"/>
  <c r="M24" i="14"/>
  <c r="M23" i="14"/>
  <c r="L23" i="14"/>
  <c r="K23" i="14"/>
  <c r="J23" i="14"/>
  <c r="M22" i="14"/>
  <c r="M21" i="14"/>
  <c r="K21" i="14"/>
  <c r="J21" i="14"/>
  <c r="M20" i="14"/>
  <c r="J20" i="14"/>
  <c r="M19" i="14"/>
  <c r="L19" i="14"/>
  <c r="K19" i="14"/>
  <c r="J19" i="14"/>
  <c r="M18" i="14"/>
  <c r="M17" i="14"/>
  <c r="M16" i="14"/>
  <c r="M15" i="14"/>
  <c r="J15" i="14"/>
  <c r="M14" i="14"/>
  <c r="M13" i="14"/>
  <c r="M12" i="14"/>
  <c r="L12" i="14"/>
  <c r="K12" i="14"/>
  <c r="J12" i="14"/>
  <c r="M11" i="14"/>
  <c r="L11" i="14"/>
  <c r="K11" i="14"/>
  <c r="J11" i="14"/>
  <c r="M10" i="14"/>
  <c r="L10" i="14"/>
  <c r="L27" i="14" s="1"/>
  <c r="K10" i="14"/>
  <c r="K27" i="14" s="1"/>
  <c r="J10" i="14"/>
  <c r="J27" i="14" s="1"/>
  <c r="M9" i="14"/>
  <c r="M8" i="14"/>
  <c r="F34" i="14" l="1"/>
  <c r="F34" i="13" l="1"/>
  <c r="G34" i="13" s="1"/>
  <c r="G33" i="13"/>
  <c r="G32" i="13"/>
  <c r="L24" i="13"/>
  <c r="M23" i="13"/>
  <c r="L23" i="13"/>
  <c r="K23" i="13"/>
  <c r="J23" i="13"/>
  <c r="M22" i="13"/>
  <c r="K22" i="13"/>
  <c r="J22" i="13"/>
  <c r="M21" i="13"/>
  <c r="L21" i="13"/>
  <c r="K21" i="13"/>
  <c r="J21" i="13"/>
  <c r="M20" i="13"/>
  <c r="M19" i="13"/>
  <c r="M18" i="13"/>
  <c r="K18" i="13"/>
  <c r="K24" i="13" s="1"/>
  <c r="J18" i="13"/>
  <c r="J24" i="13" s="1"/>
  <c r="M17" i="13"/>
  <c r="M16" i="13"/>
  <c r="M15" i="13"/>
  <c r="M14" i="13"/>
  <c r="M13" i="13"/>
  <c r="M12" i="13"/>
  <c r="M11" i="13"/>
  <c r="M10" i="13"/>
  <c r="M9" i="13"/>
  <c r="M24" i="13" s="1"/>
  <c r="G31" i="13" l="1"/>
  <c r="E18" i="12" l="1"/>
  <c r="F18" i="12" s="1"/>
  <c r="F17" i="12"/>
  <c r="N10" i="12"/>
  <c r="N9" i="12"/>
  <c r="N8" i="12"/>
  <c r="N7" i="12"/>
  <c r="N6" i="12"/>
  <c r="F16" i="12" l="1"/>
  <c r="F15" i="12"/>
  <c r="H25" i="11" l="1"/>
  <c r="G25" i="11"/>
  <c r="J25" i="11" s="1"/>
  <c r="F25" i="11"/>
  <c r="F26" i="11" s="1"/>
  <c r="E25" i="11"/>
  <c r="H26" i="11" s="1"/>
  <c r="J24" i="11"/>
  <c r="J23" i="11"/>
  <c r="J22" i="11"/>
  <c r="J21" i="11"/>
  <c r="J20" i="11"/>
  <c r="J19" i="11"/>
  <c r="J18" i="11"/>
  <c r="J17" i="11"/>
  <c r="J16" i="11"/>
  <c r="J15" i="11"/>
  <c r="J14" i="11"/>
  <c r="J13" i="11"/>
  <c r="J12" i="11"/>
  <c r="J11" i="11"/>
  <c r="J10" i="11"/>
  <c r="J9" i="11"/>
  <c r="J8" i="11"/>
  <c r="J7" i="11"/>
  <c r="I7" i="11"/>
  <c r="J6" i="11"/>
  <c r="J5" i="11"/>
  <c r="I5" i="11"/>
  <c r="J4" i="11"/>
  <c r="I4" i="11"/>
  <c r="I25" i="11" s="1"/>
  <c r="I26" i="11" s="1"/>
  <c r="J3" i="11"/>
  <c r="G26" i="11" l="1"/>
  <c r="J26" i="11" s="1"/>
  <c r="M39" i="10" l="1"/>
  <c r="K39" i="10"/>
  <c r="J39" i="10"/>
  <c r="M38" i="10"/>
  <c r="M37" i="10"/>
  <c r="M36" i="10"/>
  <c r="M35" i="10"/>
  <c r="M34" i="10"/>
  <c r="M33" i="10"/>
  <c r="M32" i="10"/>
  <c r="L32" i="10"/>
  <c r="K32" i="10"/>
  <c r="J32" i="10"/>
  <c r="M30" i="10"/>
  <c r="L30" i="10"/>
  <c r="K30" i="10"/>
  <c r="J30" i="10"/>
  <c r="M29" i="10"/>
  <c r="L29" i="10"/>
  <c r="L40" i="10" s="1"/>
  <c r="K29" i="10"/>
  <c r="J29" i="10"/>
  <c r="M28" i="10"/>
  <c r="M27" i="10"/>
  <c r="M26" i="10"/>
  <c r="M25" i="10"/>
  <c r="M24" i="10"/>
  <c r="M23" i="10"/>
  <c r="K23" i="10"/>
  <c r="J23" i="10"/>
  <c r="M22" i="10"/>
  <c r="K22" i="10"/>
  <c r="J22" i="10"/>
  <c r="M21" i="10"/>
  <c r="M20" i="10"/>
  <c r="M19" i="10"/>
  <c r="K19" i="10"/>
  <c r="K40" i="10" s="1"/>
  <c r="J19" i="10"/>
  <c r="M18" i="10"/>
  <c r="M17" i="10"/>
  <c r="J17" i="10"/>
  <c r="J40" i="10" s="1"/>
  <c r="M16" i="10"/>
  <c r="M15" i="10"/>
  <c r="M14" i="10"/>
  <c r="M13" i="10"/>
  <c r="M12" i="10"/>
  <c r="M11" i="10"/>
  <c r="M10" i="10"/>
  <c r="M9" i="10"/>
  <c r="M8" i="10"/>
  <c r="M7" i="10"/>
  <c r="G22" i="9" l="1"/>
  <c r="J22" i="9" s="1"/>
  <c r="J21" i="9"/>
  <c r="L12" i="9"/>
  <c r="K12" i="9"/>
  <c r="J12" i="9"/>
  <c r="M11" i="9"/>
  <c r="M10" i="9"/>
  <c r="M9" i="9"/>
  <c r="M8" i="9"/>
  <c r="M7" i="9"/>
  <c r="J20" i="9" l="1"/>
  <c r="J19" i="9"/>
  <c r="I68" i="8" l="1"/>
  <c r="J68" i="8" s="1"/>
  <c r="I67" i="8"/>
  <c r="J67" i="8" s="1"/>
  <c r="J66" i="8"/>
  <c r="J65" i="8"/>
  <c r="M58" i="8"/>
  <c r="M57" i="8"/>
  <c r="M56" i="8"/>
  <c r="M55" i="8"/>
  <c r="L55" i="8"/>
  <c r="K55" i="8"/>
  <c r="J55" i="8"/>
  <c r="M54" i="8"/>
  <c r="J54" i="8"/>
  <c r="M53" i="8"/>
  <c r="M52" i="8"/>
  <c r="M51" i="8"/>
  <c r="M50" i="8"/>
  <c r="M49" i="8"/>
  <c r="M48" i="8"/>
  <c r="M47" i="8"/>
  <c r="M46" i="8"/>
  <c r="M45" i="8"/>
  <c r="M44" i="8"/>
  <c r="M43" i="8"/>
  <c r="M42" i="8"/>
  <c r="M41" i="8"/>
  <c r="M40" i="8"/>
  <c r="M39" i="8"/>
  <c r="M38" i="8"/>
  <c r="M37" i="8"/>
  <c r="M36" i="8"/>
  <c r="M35" i="8"/>
  <c r="M34" i="8"/>
  <c r="M33" i="8"/>
  <c r="M32" i="8"/>
  <c r="M31" i="8"/>
  <c r="M30" i="8"/>
  <c r="M29" i="8"/>
  <c r="M28" i="8"/>
  <c r="M27" i="8"/>
  <c r="M26" i="8"/>
  <c r="M25" i="8"/>
  <c r="M24" i="8"/>
  <c r="M23" i="8"/>
  <c r="M22" i="8"/>
  <c r="M21" i="8"/>
  <c r="M20" i="8"/>
  <c r="M19" i="8"/>
  <c r="M18" i="8"/>
  <c r="M17" i="8"/>
  <c r="L17" i="8"/>
  <c r="K17" i="8"/>
  <c r="J17" i="8"/>
  <c r="M16" i="8"/>
  <c r="M15" i="8"/>
  <c r="M14" i="8"/>
  <c r="M13" i="8"/>
  <c r="M12" i="8"/>
  <c r="M11" i="8"/>
  <c r="M10" i="8"/>
  <c r="M9" i="8"/>
  <c r="L9" i="8"/>
  <c r="L59" i="8" s="1"/>
  <c r="K9" i="8"/>
  <c r="K59" i="8" s="1"/>
  <c r="J9" i="8"/>
  <c r="J59" i="8" s="1"/>
  <c r="M8" i="8"/>
  <c r="E38" i="6" l="1"/>
  <c r="H38" i="6" s="1"/>
  <c r="H37" i="6"/>
  <c r="H36" i="6"/>
  <c r="F36" i="6"/>
  <c r="H35" i="6"/>
  <c r="M30" i="6"/>
  <c r="L30" i="6"/>
  <c r="K30" i="6"/>
  <c r="N29" i="6"/>
  <c r="N28" i="6"/>
  <c r="N27" i="6"/>
  <c r="N26" i="6"/>
  <c r="N25" i="6"/>
  <c r="N24" i="6"/>
  <c r="N23" i="6"/>
  <c r="N22" i="6"/>
  <c r="N21" i="6"/>
  <c r="N20" i="6"/>
  <c r="N19" i="6"/>
  <c r="N18" i="6"/>
  <c r="N17" i="6"/>
  <c r="N16" i="6"/>
  <c r="N15" i="6"/>
  <c r="N14" i="6"/>
  <c r="N12" i="6"/>
  <c r="N11" i="6"/>
  <c r="N10" i="6"/>
  <c r="N9" i="6"/>
  <c r="N8" i="6"/>
  <c r="F38" i="6" l="1"/>
  <c r="F35" i="6"/>
  <c r="F37" i="6"/>
  <c r="E26" i="4" l="1"/>
  <c r="H26" i="4" s="1"/>
  <c r="H25" i="4"/>
  <c r="H24" i="4"/>
  <c r="F24" i="4"/>
  <c r="H23" i="4"/>
  <c r="M16" i="4"/>
  <c r="M15" i="4"/>
  <c r="M14" i="4"/>
  <c r="M13" i="4"/>
  <c r="K13" i="4"/>
  <c r="J13" i="4"/>
  <c r="M12" i="4"/>
  <c r="M11" i="4"/>
  <c r="M9" i="4"/>
  <c r="L9" i="4"/>
  <c r="L17" i="4" s="1"/>
  <c r="K9" i="4"/>
  <c r="K17" i="4" s="1"/>
  <c r="J9" i="4"/>
  <c r="J17" i="4" s="1"/>
  <c r="F26" i="4" l="1"/>
  <c r="F25" i="4"/>
  <c r="F23" i="4"/>
  <c r="E18" i="2" l="1"/>
  <c r="H18" i="2" s="1"/>
  <c r="H17" i="2"/>
  <c r="H16" i="2"/>
  <c r="H15" i="2"/>
  <c r="F16" i="2" l="1"/>
  <c r="F18" i="2"/>
  <c r="F15" i="2"/>
  <c r="F17" i="2"/>
</calcChain>
</file>

<file path=xl/sharedStrings.xml><?xml version="1.0" encoding="utf-8"?>
<sst xmlns="http://schemas.openxmlformats.org/spreadsheetml/2006/main" count="755" uniqueCount="455">
  <si>
    <t xml:space="preserve">ESTADO DE EJECUCIÓN METAS PRODUCTO PLAN DE DESARROLLO EN DEFENSA DEL BIEN COMÚN </t>
  </si>
  <si>
    <t xml:space="preserve">SECRETARIA PRIVADA </t>
  </si>
  <si>
    <t xml:space="preserve">SEPTIEMBRE 30 DE 2016 </t>
  </si>
  <si>
    <t xml:space="preserve">CONSECUTIVO </t>
  </si>
  <si>
    <t xml:space="preserve">No  DE META </t>
  </si>
  <si>
    <t xml:space="preserve">NOMBRE DE LA META </t>
  </si>
  <si>
    <t xml:space="preserve">LINEA BASE 2015 </t>
  </si>
  <si>
    <t xml:space="preserve"> META PROGRAMADA  </t>
  </si>
  <si>
    <t xml:space="preserve">META EJECUTADA </t>
  </si>
  <si>
    <t xml:space="preserve">CODIGO PROYECTO </t>
  </si>
  <si>
    <t xml:space="preserve">PROYECTO </t>
  </si>
  <si>
    <t>PRESUPUESTADO</t>
  </si>
  <si>
    <t>E (COMPROMISOS)</t>
  </si>
  <si>
    <t>E (OBLIGACIONES)</t>
  </si>
  <si>
    <t>SEMAFORO                                              ( COMPROMISO): Verde                                     (80%  - 100%), Amarillo                  (50%  - 79%) y Rojo ( 0-49%)</t>
  </si>
  <si>
    <t xml:space="preserve">Realizar 40 eventos  de sensibilización en transparencia , participación, buen gobierno y valores éticos y morales  </t>
  </si>
  <si>
    <t>ND</t>
  </si>
  <si>
    <t>201663000-0082</t>
  </si>
  <si>
    <t>Desarrollar y fortalecer la cultura de la transparencia, participación, buen gobierno  y valores éticos y morales en el Departamento del Quindio</t>
  </si>
  <si>
    <t>Implementar una (1) sala de transparencia "Urna de Cristal" en el Departamento</t>
  </si>
  <si>
    <t>201663000-0083</t>
  </si>
  <si>
    <t>Implementacion de una (1) sala de transparencia "Urna de Cristal" en el Departamento del Quindio</t>
  </si>
  <si>
    <t xml:space="preserve">METAS  DE PLAN DE DESARROLLO " EN DEFENSA DEL BIEN COMÚN" </t>
  </si>
  <si>
    <t xml:space="preserve">NÚMERO DE METAS  PRODUCTO </t>
  </si>
  <si>
    <t>%</t>
  </si>
  <si>
    <t xml:space="preserve">S. VERDE ( 80%-100%) </t>
  </si>
  <si>
    <t>S. AMARILLO (49%-79%)</t>
  </si>
  <si>
    <t>S. ROJO ( 0-49%)</t>
  </si>
  <si>
    <t xml:space="preserve">TOTAL </t>
  </si>
  <si>
    <t>SECRETARIA DE CULTURA</t>
  </si>
  <si>
    <t>Apoyar  treinta (30) proyectos y/o actividades de formación, difusión, circulación, creación e investigación, planeación y de espacios para el disfrute de las artes</t>
  </si>
  <si>
    <t>201663000-0043                   201663000-0044                        201663000-0045                       201663000-0046</t>
  </si>
  <si>
    <t>Fortalecimiento institucional para el sector cultural en todo el Departamento del Quindío.                 Fortalecimiento del Plan Departamental de Lectura y bibliotecas en todo el Departamento del Quindio                             Apoyo a seguridad social del creador y gestor cultural del Departamento del Quindio               Apoyo al arte y la cultura en todo el Departamento del Quindío</t>
  </si>
  <si>
    <t>Apoyar  ciento veinte (120) proyectos del programa de concertación cultural del departamento</t>
  </si>
  <si>
    <t xml:space="preserve">  201663000-0046</t>
  </si>
  <si>
    <t xml:space="preserve"> Apoyo al arte y la cultura en todo el Departamento del Quindío</t>
  </si>
  <si>
    <t xml:space="preserve"> </t>
  </si>
  <si>
    <t>Apoyar treinta y seis (36) proyectos mediante estímulos artísticos y culturales</t>
  </si>
  <si>
    <t>Fortalecer cinco (5) procesos de emprendimiento cultural y de desarrollo de industrias creativas</t>
  </si>
  <si>
    <t>201663000-0047</t>
  </si>
  <si>
    <t xml:space="preserve">Fortalecimiento y promoción del  emprendimiento cultural y las industrias creativas en el Departamento </t>
  </si>
  <si>
    <t>Apoyar  veinte (20) proyectos y/o actividades en investigación, capacitación y difusión de la lectura y escritura para fortalecer la Red Departamental de Bibliotecas</t>
  </si>
  <si>
    <t>201663000-0044                     201663000-0048</t>
  </si>
  <si>
    <t>Fortalecimiento del Plan Departamental de Lectura y bibliotecas en todo el Departamento del Quindio                         Fortalecimiento al  Plan Departamental  de lectura, escritura y bibliotecas en el Departamento del Quindio .</t>
  </si>
  <si>
    <t xml:space="preserve">Apoyar treinta y dos (32) proyectos y/o actividades en gestión, investigación,  protección, divulgación y salvaguardia del patrimonio y diversidad cultural </t>
  </si>
  <si>
    <t>201663000-0049</t>
  </si>
  <si>
    <t>Apoyo al reconocimiento, apropiación y salvaguardia y difusión del patrimonio cultural en todo el Departamento del Quindío.</t>
  </si>
  <si>
    <t xml:space="preserve">Apoyar diez (10) proyectos y/o actividades orientados a fortalecer la articulación comunicación y cultura </t>
  </si>
  <si>
    <t>201663000-0050</t>
  </si>
  <si>
    <t>Fortalecimiento de la comunicación, la ciudadanía  y el sistema departamental de cultura  en el Quindio.</t>
  </si>
  <si>
    <t>Apoyar  dieciséis (16) actividades y/o proyectos  para el afianzamiento del Sistema Departamental de Cultura</t>
  </si>
  <si>
    <t>TOTAL</t>
  </si>
  <si>
    <t>ESTADO DE EJECUCIÓN METAS PRODUCTO PLAN DE DESARROLLO "EN DEFENSA DEL BIEN COMÚN "</t>
  </si>
  <si>
    <t>SECRETARIA DE PLANEACIÓN</t>
  </si>
  <si>
    <t xml:space="preserve">CON CORTE AL 30 DE SEPTIEMBRE DE 2016 </t>
  </si>
  <si>
    <t xml:space="preserve">No </t>
  </si>
  <si>
    <t xml:space="preserve">No  DE META PRODUCTO </t>
  </si>
  <si>
    <t xml:space="preserve">META PRODUCTO </t>
  </si>
  <si>
    <t xml:space="preserve">META PROYECTADA </t>
  </si>
  <si>
    <t xml:space="preserve">PRESUPUESTO DEFINITIVO </t>
  </si>
  <si>
    <t xml:space="preserve">COMPROMISOS </t>
  </si>
  <si>
    <t xml:space="preserve">OBLIGACIONES </t>
  </si>
  <si>
    <t>Realizar en el Departamento y  los doce (12) municipios  del Quindío  procesos de sensibilización, seguimiento  y evaluación en la aplicabilidad de los componentes   del Índice de Transparencia.</t>
  </si>
  <si>
    <t>201663000-0006</t>
  </si>
  <si>
    <t>Realización procesos de capacitación,  asistencia técnica, seguimiento  y evaluación en la aplicabilidad de los componentes   del Índice de Transparencia en el Departamento del Quindio</t>
  </si>
  <si>
    <t xml:space="preserve">Realizar  doce (12) procesos de Rendición Publica de Cuentas Departamentales en entes territoriales municipales. </t>
  </si>
  <si>
    <t>201663000-0015</t>
  </si>
  <si>
    <t xml:space="preserve">Realización procesos de Rendición Publica de Cuentas Departamentales enlos  entes territoriales municipales del Departamento del Quindio </t>
  </si>
  <si>
    <t xml:space="preserve">Fortalecer  técnica y logísticamente al  Consejo Territorial de Planeación  Departamental  </t>
  </si>
  <si>
    <t>201463000-0068</t>
  </si>
  <si>
    <t>201663000-0007</t>
  </si>
  <si>
    <t>Asistencia al Consejo Territorial de Planeación del Departamento del Quindío.</t>
  </si>
  <si>
    <t>Formular  e implementar el  Plan de Desarrollo Departamental</t>
  </si>
  <si>
    <t>201563000-0007</t>
  </si>
  <si>
    <t>201663000-0008</t>
  </si>
  <si>
    <t xml:space="preserve"> Formulación del Plan de Desarrollo Departamental 2016 - 2019</t>
  </si>
  <si>
    <t>Diseñar e implementar el Plan de Ordenamiento del Departamento del Quindio.</t>
  </si>
  <si>
    <t>201663000-0009</t>
  </si>
  <si>
    <t>Diseño e implementación instrumentos de  planificación para el  ordenamiento  territorial, social y económico del  Departamento del Quindio</t>
  </si>
  <si>
    <t>Diseñar e implementar Un (1) Sistema de Información geo referenciado para el ordenamiento social  y económico del territorio rural</t>
  </si>
  <si>
    <t xml:space="preserve">Actualizar y fortalecer  las directrices   del Modelo de Ocupación del Territorio   en el Departamento del Quindío </t>
  </si>
  <si>
    <t xml:space="preserve">Fortalecer el  Sistema de Información Geográfica del Departamento del Quindío  </t>
  </si>
  <si>
    <t>Adoptar dos (2) mecanismo de integracion regional  y  de asociatividad  entre los municipios.</t>
  </si>
  <si>
    <t xml:space="preserve">Reorientar el Observatorio económico a un enfoque humano con variables sociales, economicas y de seguridad humana en el Departamento del Quindío  </t>
  </si>
  <si>
    <t>201663000-0010</t>
  </si>
  <si>
    <t xml:space="preserve">Diseño    e implementación del Observatorio  de Desarrollo Humano en el Departamento del Quindio </t>
  </si>
  <si>
    <t>Diseñar e implementar el tablero de control  para el seguimiento y evaluación del Plan de Desarrollo  y   políticas públicas  Departamentales</t>
  </si>
  <si>
    <t>201663000-0011</t>
  </si>
  <si>
    <t>Diseño  e implementación del Tablero de Control  para el seguimiento y evalución del Plan de Desarrollo y las Políticas Públicas del  Departamento del Quindio</t>
  </si>
  <si>
    <t xml:space="preserve">Diseñar e implementar la  Fábrica de Proyectos de Inversión en el Departamento del Quindío </t>
  </si>
  <si>
    <t>201463000-0065</t>
  </si>
  <si>
    <t>201663000-0012</t>
  </si>
  <si>
    <t xml:space="preserve"> Implementación Sistema de Cooperación Internacional y  de Gestión de proyectos  del Depratamento del Quindío - " Fabrica de Proyectos</t>
  </si>
  <si>
    <t xml:space="preserve">Actualizar el Sistema Integrado de Gestión Administrativa SIGA del departamento del Quindío </t>
  </si>
  <si>
    <t>201663000-0013</t>
  </si>
  <si>
    <t xml:space="preserve">Actualizar y/o  ajustar el Sistema Integrado de Gestión Administrativa SIGA del Departamento del Quindío </t>
  </si>
  <si>
    <t xml:space="preserve">Implementar el Comité  de Planificación  Departamental   </t>
  </si>
  <si>
    <t>201663000-0014</t>
  </si>
  <si>
    <t>Asistencia  técnica, seguimiento y evaluación  de la gestión  territorial en los  munipicios del Departamento del  Quindío.</t>
  </si>
  <si>
    <t>Implementar en doce (12) municipios del Departamento procesos de capacitación,   asistencia técnica,  seguimiento  y evaluación   de los    Planes  (Básicos y/o esquemas) Ordenamiento   Territorial</t>
  </si>
  <si>
    <t xml:space="preserve">Implementar en doce (12) municipios del Departamento del Quindío  procesos de sensibilización, capacitación, asistencia técnica, seguimiento y evaluación del "Ranking integral de Desempeño"   </t>
  </si>
  <si>
    <t xml:space="preserve">Implementar en doce (12) municipios del Departamento del Quindío  procesos de sensibilización, capacitación,  asistencia técnica, seguimiento  y evaluación  en la aplicabilidad de los instrumentos de planificación </t>
  </si>
  <si>
    <t xml:space="preserve">Implementar en doce (12) municipios del Departamento del Quindío  procesos de  sensibilización, capacitación,  asistencia técnica, seguimiento  y evaluación  en la aplicabilidad  del Sistema  Selección de Beneficiarios de programas Sociales SISBEN </t>
  </si>
  <si>
    <t xml:space="preserve">Implementar en doce (12) municipios del Departamento del Quindío procesos de  sensibilización, capacitación, asistencia técnica, seguimiento  y evaluación  en la aplicabilidad   de las políticas públicas </t>
  </si>
  <si>
    <t xml:space="preserve">Implementar en doce (12) municipios del Departamento del Quindío  procesos  de capacitación,  asistencia técnica, seguimiento  y evaluación  en la aplicabilidad   de la Estratificación Socioeconómica </t>
  </si>
  <si>
    <t xml:space="preserve">Implementar en doce (12) municipios del departamento del Quindío procesos de capacitación  en  la Metodología General Ajustada  MGA </t>
  </si>
  <si>
    <t xml:space="preserve">Realizar procesos  de asistencia técnica, seguimiento y evaluacion  en la incorporación  de  las directrices del  Modelo de Ocupación del Territorio de en los doce (12) Municipios </t>
  </si>
  <si>
    <t xml:space="preserve">SECRETARIA ADMINISTRATIVA </t>
  </si>
  <si>
    <t>Implementar un (1) plan, programa y/o proyecto para el acceso de niños, niñas y jóvenes en las instituciones educativas</t>
  </si>
  <si>
    <t>201663000-0084                   2016063000-0085</t>
  </si>
  <si>
    <t xml:space="preserve"> Fortalecimiento de las estrategias para el acceso,  permanencia y seguridad  de los niños, niñas y jóvenes en el  sistema  educativo del Departamento del Quindio.             Fortalecimiento de estrategias de permanencia en el sistema educativo formal mediante el mejoramiento de ambientes educativos escolares en el Departamento del Quindío</t>
  </si>
  <si>
    <t>Implementar el Programa de Alimentación Escolar (PAE) en el departamento del Quindío</t>
  </si>
  <si>
    <t>Implementar el programa de transporte escolar en el departamento del Quindío</t>
  </si>
  <si>
    <t>Atender cuatro mil quinientos (4.500)  personas de la población adulta del departamento (jóvenes y adultos, madres cabeza de hogar)</t>
  </si>
  <si>
    <t>201663000-0086</t>
  </si>
  <si>
    <t>Implementación de estrategias de inclusión para garantizar la atención educativa a población vulnerable en el  Departamento del  Quindío.</t>
  </si>
  <si>
    <t>Diseñar e implementar una estrategia que permita disminuir la tasa de analfabetismo en los municipios del Departamento del Quindío</t>
  </si>
  <si>
    <t>Atender cuatrocientos noventa (490) personas de la población étnica (Afro descendientes e indígenas)  en el sistema educativo en los diferentes niveles.</t>
  </si>
  <si>
    <t xml:space="preserve">Atender dos mil quinientos setenta estudiantes (2570) en condición de población  victima del conflicto, residentes en el departamento del Quindío </t>
  </si>
  <si>
    <t>Atender  cuatrocientos cincuenta y cinco (455)  menores y/o adultos  que se encuentran en riesgo social    en conflicto con la ley penal,  iletrados, habitantes de frontera y/o menores  trabajadores.</t>
  </si>
  <si>
    <t>Diseñar e implementar un plan para la caracterización y atención de la población en condiciones especiales y excepcionales del departamento</t>
  </si>
  <si>
    <t>Sostener dos mil doscientos treinta y dos (2.232) docentes, directivos docentes y administrativos viabilizados por el ministerio de educación nacional vinculados a la secretaria de educación departamental</t>
  </si>
  <si>
    <t xml:space="preserve">  201663000-0087           201663000-0088</t>
  </si>
  <si>
    <t>Aplicación funcionamiento y prestación del servicio educativo de las instituciones educativas                Aplicación de estrategias de acceso al sistema educativo en todos los niveles en el Departamento del Quindío</t>
  </si>
  <si>
    <t xml:space="preserve">Mejorar el  índice sintético de calidad educativa (ISCE) en el nivel de básica primaria,  por encima del promedio nacional, en treinta  y seis  (36)  Instituciones Educativas oficiales </t>
  </si>
  <si>
    <t>201663000-0089</t>
  </si>
  <si>
    <t xml:space="preserve">
Implementación de  estrategias para el mejoramiento continuo del indice sintetico de calidad educativa en los niveles de básica primaria, básica secundaria y nivel de media en el Departamento del Quindio 
</t>
  </si>
  <si>
    <t>Capacitar a mil doscientos (1.200) docentes en estrategias para el mejoramiento del ISCE en el Departamento del Quindío</t>
  </si>
  <si>
    <t>Beneficiar a ochenta (80) docentes  con becas de posgrado</t>
  </si>
  <si>
    <t xml:space="preserve">Apoyar quince (15) instituciones educativas participando en el programa todo a aprender </t>
  </si>
  <si>
    <t>Brindar acompañamiento a doscientos treinta (230) docentes con  tutores PTA</t>
  </si>
  <si>
    <t>Beneficiar a 4.700  estudiantes con el  Programas Todos  a Aprender</t>
  </si>
  <si>
    <t xml:space="preserve">Mejorar el  índice sintético de calidad educativa (ISCE) en el nivel de básica secundaria,  por encima del promedio nacional, en cuarenta  y un  (41)  Instituciones Educativas oficiales </t>
  </si>
  <si>
    <t xml:space="preserve">Mejorar el  índice sintético de calidad educativa (ISCE) en el nivel de media,  por encima del promedio nacional, en cuarenta  (40)  Instituciones Educativas oficiales </t>
  </si>
  <si>
    <t xml:space="preserve">Fortalecer cincuenta y cuatro (54) comités de convivencia escolar de las instituciones educativas </t>
  </si>
  <si>
    <t>201663000-0090</t>
  </si>
  <si>
    <t>Mejoramiento de ambientes escolares y  fortalecimiento de modelos educativos articuladores de la ciencia, los lenguajes, las artes y el deporte en el Departamento del Quindio</t>
  </si>
  <si>
    <t>Diseñar y ejecutar treinta (30)  proyectos educativos institucionales resignificados en el contexto de la paz y la jornada única</t>
  </si>
  <si>
    <t xml:space="preserve">Diseñar e implementar la estrategia "escuela de padres" en treinta (30) instituciones educativas  </t>
  </si>
  <si>
    <t>Conformar y dotar   grupos culturales y artísticos en treinta (30)  instituciones educativas con  protagonismo en cada uno de los municipios</t>
  </si>
  <si>
    <t>Implementar el proyecto PRAE en treinta y seis (36)  instituciones educativas del departamento</t>
  </si>
  <si>
    <t>Realizar eventos académicos, investigativos y culturales, liderados por la Secretaría de Educación Departamental para el fortalecimiento de la calidad educativa, la convivencia, la paz, la formación ciudadana y pensamiento ambiental</t>
  </si>
  <si>
    <t xml:space="preserve">Implementar el  programa de  jornada única con el acceso y permanencia de veinte mil (20.000) estudiantes </t>
  </si>
  <si>
    <t xml:space="preserve">Mantener, adecuar y/o construir la infraestructura ciento treinta (130) sedes de las instituciones educativas  </t>
  </si>
  <si>
    <t xml:space="preserve">Dotar cincuenta y cuatro (54) instituciones educativas con material didáctico, mobiliario escolar y/o infraestructura tecnológica  </t>
  </si>
  <si>
    <t>Implementar la jornada complementaria y/o unica que articule arte,deporte y cultura, en seis (6) municipios declarados en el sistema de alertas tempranas de la defensoría del pueblo</t>
  </si>
  <si>
    <t xml:space="preserve">Implementar el programa "pásate a la biblioteca"  en treinta y seis (36)  instituciones educativas </t>
  </si>
  <si>
    <t>201663000-0091</t>
  </si>
  <si>
    <t>Implementación de  estrategias educativas en  lectura y escritura en las instituciones educativas en el Departamento del Quindío.</t>
  </si>
  <si>
    <t xml:space="preserve">Dotar ciento cuarenta (140) sedes educativas con la colección semilla </t>
  </si>
  <si>
    <t>Apoyar los  procesos de capacitación  de quinientos (500) docentes del departamento</t>
  </si>
  <si>
    <t xml:space="preserve">Realizar seis (6)  festivales o encuentros de literatura y escritura el departamento </t>
  </si>
  <si>
    <t>201663000-0092</t>
  </si>
  <si>
    <t>Desarrollo de estrategias de evaluación de actores educativos e instituciones educativas en el Departamento del Quindío.</t>
  </si>
  <si>
    <t xml:space="preserve">Contar con cincuenta y dos (52) instituciones educativas con  mayor eficiencia en la gestión de sus procesos y proyectos  ante la entidad  territorial y la Secretaria de Educación Departamental.
</t>
  </si>
  <si>
    <t>201663000-0093</t>
  </si>
  <si>
    <t>Mejoramiento de estrategias que permitan una mayor eficiencia en la gestion de procesos y proyectos de las instituciones educativas del Departamento del Quindio.</t>
  </si>
  <si>
    <t>Apoyar cincuenta y cinco (55) docentes licenciados en lenguas modernas formados en ingles con  dominio B2</t>
  </si>
  <si>
    <t>201663000-0094</t>
  </si>
  <si>
    <t>Implementación de estrategias para el mejoramiento de las competencias en lengua extranjera en estudiantes y docentes de las instituciones educativas del Departamento del Quindío</t>
  </si>
  <si>
    <t>Cualificar la formación de ciento cincuenta (150) docentes de preescolar y básica primaria en inglés con dominio A2 y B1 y metodología para la enseñanza</t>
  </si>
  <si>
    <t>Iniciar el proceso de bilinguismo  en niños  entre pre-escolar - quinto grado de primaria de colegios públicos en seis (6) municipios</t>
  </si>
  <si>
    <t>Dotar cincuenta y cuatro (54) instituciones educativas con herramientas audiovisuales para la enseñanza del ingles</t>
  </si>
  <si>
    <t>Realizar siete (7)  concursos  para evaluar las competencias comunicativas en ingles de los estudiantes</t>
  </si>
  <si>
    <t>Desarrollar doce (12) talleres para docentes en el uso de las TICs</t>
  </si>
  <si>
    <t>201663000-0095</t>
  </si>
  <si>
    <t xml:space="preserve">Fortalecimiento de los niveles de educación  básica y media para la articulación con la educación terciaria en el Departamento del Quindio </t>
  </si>
  <si>
    <t>Fortalecer cincuenta (50)   instituciones educativas en competencias básicas</t>
  </si>
  <si>
    <t>Fortalecer cuarenta y siete (47) instituciones educativas con el programa de articulación con la educación superior y ETDH</t>
  </si>
  <si>
    <t xml:space="preserve">Implementar un Programa de Alimentación Escolar Universitario PAEU para estudiantes universitarios </t>
  </si>
  <si>
    <t>Implementar el programa de acceso y permanencia de la educación técnica, tecnologica y superior en el departamento del Quindío</t>
  </si>
  <si>
    <t>Fortalecer, hacer seguimiento y auditar cuatro (4)  procesos certificados con que cuenta la Secretaria de Educación Departamental</t>
  </si>
  <si>
    <t>201663000-0096</t>
  </si>
  <si>
    <t xml:space="preserve">Fortalecimiento de los niveles de eficiencia administrativa en la Secretaría de Educación Departamental del Quindío </t>
  </si>
  <si>
    <t>Crear e implementar  en cincuenta y dos (52) instituciones educativas procesos presupuestales y financieros integrados</t>
  </si>
  <si>
    <t>Implementar y/o mejorar el sistema de conectividad en 200 sedes educativas oficiales en el departamento.</t>
  </si>
  <si>
    <t>201663000-0097        2016063000-0173</t>
  </si>
  <si>
    <t>Fortalecimiento de las herramientas tecnológicas en las Instituciones Educativas del Departamento del Quindío .      Fortalecimiento de la innovación, formación y conectividad en las instituciones educativas en el Departamento del Quindío.</t>
  </si>
  <si>
    <t>Realizar el pago oportuno al 100% de los funcionarios de la planta de  administrativos, docentes y directivos docentes del sector central</t>
  </si>
  <si>
    <t>201663000-0098            201663000-0099</t>
  </si>
  <si>
    <t>Funcionamiento y Prestación de Servicios del Sector Educativo del nivel Central  en el Departamento del Quindio           Aplicación de estrategias de acceso al sistema educativo en todos los niveles en el Departamento del Quindío</t>
  </si>
  <si>
    <t>Realizar el reconocimiento a sesenta (60) docentes, directivos docentes y/o personal administrativo</t>
  </si>
  <si>
    <t>201663000-0100</t>
  </si>
  <si>
    <t>Mejoramiento  de la gestión admnistrativa y docente para la eficiencia del bienestar laboral   del Departamento del Quindio</t>
  </si>
  <si>
    <t>Realizar (ocho) 8 eventos y actividades culturales y recreativas, desarrolladas para los funcionarios del servicio educativo del departamento del Quindío</t>
  </si>
  <si>
    <t>Implementar  un (1)  programa de educación integral  a la primera infancia</t>
  </si>
  <si>
    <t>201663000-0101</t>
  </si>
  <si>
    <t xml:space="preserve">Implementación del modelo de atención integral de la educación inicial en el Departamento del  Quindio. </t>
  </si>
  <si>
    <t>Virtualizar ocho (8) trámites de la administración departamental a través de Gobierno en Línea</t>
  </si>
  <si>
    <t>201663000-0001</t>
  </si>
  <si>
    <t>Apoyo a la estrategia de Gobierno en linea en el Departamento del Quindio</t>
  </si>
  <si>
    <t>Formular e  implementar un (1) programa de seguridad y salud en el trabajo, capacitación y bienestar social en  el departamento</t>
  </si>
  <si>
    <t>0,23</t>
  </si>
  <si>
    <t>201663000-0002</t>
  </si>
  <si>
    <t>Formulación e implementación del programa de seguridad y salud en el trabajo, capacitación y bienestar social en el Departamento del Quindio</t>
  </si>
  <si>
    <t>Fortalecer el programa de  infraestructura tecnológica de la  Administración Departamental (hadware, aplicativos, redes, y capacitación)</t>
  </si>
  <si>
    <t>201663000-0003</t>
  </si>
  <si>
    <t>Actualización de la infraestructura tecnológica de la Gobernación del Quindío.</t>
  </si>
  <si>
    <t xml:space="preserve">Fortalecer el programa de sostenibilidad de las  Tecnologias de la Información de las Comunicaciones de la Gobernación del Quindio </t>
  </si>
  <si>
    <t>201663000-0004</t>
  </si>
  <si>
    <t>Apoyo a la sostenibilidad de las tecnologías de la información y comunicación de la Gobernación del Quindío.</t>
  </si>
  <si>
    <t>Implementar un (1) programa de modernización de la gestión documental en el departamento</t>
  </si>
  <si>
    <t>2016063000-0005</t>
  </si>
  <si>
    <t>Implementación de un programa  de  modernización de la gestión administrativa en el Departamento del Quindio</t>
  </si>
  <si>
    <t>SECRETARIA DEL INTERIOR</t>
  </si>
  <si>
    <t>Apoyar la implementación de seis (6) programas de resocialización  en establecimientos carcelarios  del Departamento (sustento legal 1709 de 2014)</t>
  </si>
  <si>
    <t>201663000-0028</t>
  </si>
  <si>
    <t xml:space="preserve">Construcción integral de la seguridad humana en el Departamento de Quindio.  </t>
  </si>
  <si>
    <t>Fortalecer 10 programas de prevención y superación del Sistema de responsabilidad penal para adolescentes</t>
  </si>
  <si>
    <t>Apoyar la construcción, refacción o adecuación de  seis (6) estaciones de policía y/o guarniciones militares y/o instituciones carcelarias</t>
  </si>
  <si>
    <t xml:space="preserve">4
</t>
  </si>
  <si>
    <t>Dotar cinco (5) organismos de seguridad del departamento con elementos tecnológicos y logísticos que faciliten su operatividad y capacidad de respuesta</t>
  </si>
  <si>
    <t xml:space="preserve">5
</t>
  </si>
  <si>
    <t>Apoyar 3 observatorios locales del delito</t>
  </si>
  <si>
    <t>Apoyar la implementación de treinta y seis (36) programas de prevención del delito y mediación de conflictos en comunidades focalizadas del departamento</t>
  </si>
  <si>
    <t>201663000-0029</t>
  </si>
  <si>
    <t>Apoyo a la convivencia, justicia y cultura de paz en el Departamento del  Quindio.</t>
  </si>
  <si>
    <t>Atencion integral de Barrios con situacion critica de convivencia en los 12 Municipios  del Departamento</t>
  </si>
  <si>
    <t>Actualizar el código departamental de Policía</t>
  </si>
  <si>
    <t>Actualizar e implementar el Plan Integral de Seguridad y Convivencia Ciudadana (PISCC)</t>
  </si>
  <si>
    <t xml:space="preserve">Apoyar la articulación para la atención integral de las víctimas del conflicto por enfoque diferencial en  los 12 municipios del departamento
</t>
  </si>
  <si>
    <t>201663000-0030            201663000-0031</t>
  </si>
  <si>
    <t>Implementación del Plan de Acción Territorial para la prevención, protección, asistencia, atención, reparación integral en el Departamento del Quindio.               Inversiones de desarrollo del PARIV y atención a víctimas del conflicto armado todo el Departamento del Quindio</t>
  </si>
  <si>
    <t>Apoyar  la atención humanitaria inmediata a la población víctima del conflicto en los 12 municipios</t>
  </si>
  <si>
    <t xml:space="preserve">Fortalecer el Comité departamental de justicia transicional y la mesa de participación efectiva de las víctimas del conflicto </t>
  </si>
  <si>
    <t xml:space="preserve">Apoyar la construcción y la actualización de los Planes de Acción Territorial de victimas PAT municipales y  el PAT departamental </t>
  </si>
  <si>
    <t xml:space="preserve">Diseñar e implementar el sistema de información para la prevención, atención, asistencia y reparación integral a las víctimas del conflicto armado interno </t>
  </si>
  <si>
    <t>Implementar el plan integral de prevención a las violaciones de  Derechos Humanos DDHH e infracciones  al Derecho Internacional Humanitario DIH</t>
  </si>
  <si>
    <t>201663000-0032           201663000-0033</t>
  </si>
  <si>
    <t>Implementación del Plan Integral de prevención de vulneraciones de los Derechos Humanos DDHH e infracciones  al Derecho Internacional Humanitario DIH en el departamento del Quindio                        Inversiones prevención y protección a víctimas todo el Departamento  del Quindío.</t>
  </si>
  <si>
    <t xml:space="preserve">Apoyar en los doce (12) municipios la articulación institucional para la prevención a las violaciones DDHH  e infracciones al DIH </t>
  </si>
  <si>
    <t>Actualizar e Implementar el plan lucha contra la trata de personas</t>
  </si>
  <si>
    <t>Implementar plan de acción de Derechos Humanos articulado interinstitucionalmente, de  protección de los Derechos Humanos DDHH y la Paz en los doce (12) municipios del departamento</t>
  </si>
  <si>
    <t>201663000-0034</t>
  </si>
  <si>
    <t>Construcción de la Paz Territorial en el Departamento del Quindio</t>
  </si>
  <si>
    <t xml:space="preserve">Apoyar y articular en los doce (12) municipios  del departamento las actuaciones institucionales en procura de la garantía de la construcción de paz </t>
  </si>
  <si>
    <t>201663000-0035</t>
  </si>
  <si>
    <t>Inversiones desarrollo del Plan Departamental de prevención y protección DDHH y DIH en el Departamento del Quindio</t>
  </si>
  <si>
    <t xml:space="preserve">Realizar catorce (14) estudios de riesgo y análisis de vulnerabilidad en  los municipios del departamento </t>
  </si>
  <si>
    <t>201663000-0036   201663000-0037</t>
  </si>
  <si>
    <t xml:space="preserve">Administración del  riesgo mediante el conocimiento, la reducción y el manejo del desastre  en el Departamento del Quindio.Inversiones conocimiento, reducción del riesgo y manejo de desastres en el Departamento del Quindio. </t>
  </si>
  <si>
    <t xml:space="preserve">Apoyar a ciento cincuenta (150) instituciones educativas del departamento en la formulación de Planes Escolares de Gestión del Riesgo (PGERD) </t>
  </si>
  <si>
    <t>Apoyar a los doce (12) municipios del departamento en procesos de educación a las comunidades frente a la prevención y preparación para las emergencias por fenómenos de origen natural y/o antrópico no intencional</t>
  </si>
  <si>
    <t xml:space="preserve">Realizar 10 intervenciones en  áreas vulnerables del departamento </t>
  </si>
  <si>
    <t xml:space="preserve">Fortalecer el comité departamental de gestión del riesgo de desastres </t>
  </si>
  <si>
    <t>Poner en funcionamiento operativo la sala de crisis del Departamento</t>
  </si>
  <si>
    <t>201663000-0038</t>
  </si>
  <si>
    <t>Apoyo institucional en la gestión del riesgo  en el Departamento del Quindio</t>
  </si>
  <si>
    <t>Fortalecer  la dotación de la bodega estratégica de la Unidad Departamental de la Gestión del Riesgo de Desastres UDEGER</t>
  </si>
  <si>
    <t>Implementar un (1) programa de fortalecimiento de las veedurías ciudadanas del departamento</t>
  </si>
  <si>
    <t>201663000-0042</t>
  </si>
  <si>
    <t xml:space="preserve">Fortalecimiento de las veedurias ciudadanas en el Departamento del Quindio </t>
  </si>
  <si>
    <t>Desarrollar estrategias tendientes a promover la participación ciudadana en el departamento</t>
  </si>
  <si>
    <t>201663000-0039</t>
  </si>
  <si>
    <t>Construcción de la participación ciudadana y control social en el Departamento del Quindio</t>
  </si>
  <si>
    <t>Creación y puesta en funcionamiento  del Consejo departamental de participación Ciudadana</t>
  </si>
  <si>
    <t>Formular e implemntar la política pública departamental de libertad religiosa en desarrollo del artículo 244 de la ley 1753 "Por medio de la cual se expide el Plan Nacional de Desarrollo 2014-2018 TODOS POR UN NUEVO PAÍS"</t>
  </si>
  <si>
    <t xml:space="preserve">fortalecer  organismos comunales en los  12 municipios del departamento en el mejoramiento organizacional y participativo </t>
  </si>
  <si>
    <t>201663000-0040  201663000-0041</t>
  </si>
  <si>
    <t>Desarrollo de los Organismos Comunales en el Departamento del Quindio.Inversiones fortalecimiento de los organismos comunales del Departamento del Quindío.</t>
  </si>
  <si>
    <t xml:space="preserve">EJECUCIÓN PRESUPUESTAL PROYECTOS DE INVERSIÓN POR FUENTES DE FINANCIACIÓN  SECRETARIA DE AGUAS E INFRAESTRUTURA                                                       A SEPTIEMBRE 30 DE 2016 </t>
  </si>
  <si>
    <t xml:space="preserve">CODIGO DEL RECURSO </t>
  </si>
  <si>
    <t xml:space="preserve">NOMBRE DEL RECURSO </t>
  </si>
  <si>
    <t>RUBRO</t>
  </si>
  <si>
    <t>APROPIACIÓN DEFINITIVA</t>
  </si>
  <si>
    <t xml:space="preserve">CERTIFICADO DE DISPONIBILIDAD </t>
  </si>
  <si>
    <t>COMPROMISOS</t>
  </si>
  <si>
    <t xml:space="preserve">PAGOS </t>
  </si>
  <si>
    <t>SALDO DISPONIBLE</t>
  </si>
  <si>
    <t>SEMAFORO                  ( COMPORMISOS ) : Verde  (80%  - 100%), Amarillo  (50%  - 79%)                y Rojo ( 0-49%)</t>
  </si>
  <si>
    <t>ESTAMPILLA PRODESARROLLO</t>
  </si>
  <si>
    <t>0308 - 5 - 1 17 92 109 75 - 04</t>
  </si>
  <si>
    <t xml:space="preserve">Construcción y/o mejoramiento de la Infraestructura Educativa, de todo el Departamento del Quindío. </t>
  </si>
  <si>
    <t>0308 - 5 - 3 1 2 4 15 15 21 - 04</t>
  </si>
  <si>
    <t>Construir, mantener, mejorar y/o rehabilitar la infraestructura social del Departamento del Quindio.</t>
  </si>
  <si>
    <t>RECURSO ORDINARIO</t>
  </si>
  <si>
    <t>0308 - 5 - 3 1 2 4 15 15 21 - 20</t>
  </si>
  <si>
    <t>0308 - 5 - 3 1 2 4 14 9 19 - 20</t>
  </si>
  <si>
    <t>Mantener, mejorar, rehabilitar y/o atender emergencias en las  vías, en cumplimiento del Plan Vial del Departamento del Quindío.</t>
  </si>
  <si>
    <t>SOBRETASA AL ACPM</t>
  </si>
  <si>
    <t>0308 - 5 - 3 1 2 4 14 9 19 - 23</t>
  </si>
  <si>
    <t>0308 - 5 - 1 17 87 101 69 - 23</t>
  </si>
  <si>
    <t>Aplicación del Plan Vial Departamental en el Departamento del Quindío.</t>
  </si>
  <si>
    <t xml:space="preserve">SISTEMA GENERAL DE PARTICIPACIONES AGUA POTABLE Y </t>
  </si>
  <si>
    <t>0308 - 5 - 3 1 1 1 2 3 27 - 27</t>
  </si>
  <si>
    <t>Formulación y ejecución de proyectos para la gestión del riesgo del sector de agua potable y saneamiento básico en el Departamento del Quindio.</t>
  </si>
  <si>
    <t>0308 - 5 - 1 17 88 102 70 - 27</t>
  </si>
  <si>
    <t xml:space="preserve">Implementación de acciones para el desarrollo del Plan Departamental de Aguas del Departamento del Quindío. </t>
  </si>
  <si>
    <t>0308 - 5 - 3 1 1 1 2 3 26 - 27</t>
  </si>
  <si>
    <t>Ejecución del plan de aseguramiento de la prestación de los servicios públicos de agua potable y saneamiento básico urbano y rural en el Departamento del Quindio.</t>
  </si>
  <si>
    <t>0308 - 5 - 3 1 1 1 2 3 23 - 27</t>
  </si>
  <si>
    <t>Construción y mejoramiento de la infraestructura de agua potable y saneamiento básico del Departamento del Quindio.</t>
  </si>
  <si>
    <t>0308 - 5 - 1 17 88 103 71 - 27</t>
  </si>
  <si>
    <t xml:space="preserve">Construcción y mejoramiento de la infraestructura de agua potable del Departamento del Quindío. </t>
  </si>
  <si>
    <t>0308 - 5 - 3 1 1 1 2 3 25 - 27</t>
  </si>
  <si>
    <t>Actualización e implementación del  Plan Ambiental para el sector de agua potable y saneamiento básico en el Departamento del Quindio.</t>
  </si>
  <si>
    <t>0308 - 5 - 3 1 1 1 2 3 24 - 27</t>
  </si>
  <si>
    <t>Ejecución del plan de acompañamiento social a los proyectos y obras de infraestructura de agua potable y saneamiento básico en el Departamento del Quindio.</t>
  </si>
  <si>
    <t>0308 - 5 - 1 17 88 104 72 - 27</t>
  </si>
  <si>
    <t xml:space="preserve">Construcción y mejoramiento de la Infraestructura Sanitaria del departamento del Quindío. </t>
  </si>
  <si>
    <t>0308 - 5 - 1 17 88 105 73 - 27</t>
  </si>
  <si>
    <t>Construcción y mejoramiento de los Sistemas de Acueducto en el Departamento del Quindío.</t>
  </si>
  <si>
    <t>COFINANCIACION INTERADMINISTRATIVA SSF</t>
  </si>
  <si>
    <t>0308 - 5 - 1 17 92 109 75 - 55</t>
  </si>
  <si>
    <t>SUPERAVIT RECURSO ORDINARIO</t>
  </si>
  <si>
    <t>0308 - 5 - 1 17 87 101 69 - 88</t>
  </si>
  <si>
    <t>0308 - 5 - 3 1 2 4 14 9 19 - 88</t>
  </si>
  <si>
    <t>SUPERAVIT SOBRETASA ACPM</t>
  </si>
  <si>
    <t>0308 - 5 - 3 1 2 4 14 9 19 - 89</t>
  </si>
  <si>
    <t>0308 - 5 - 1 17 87 101 69 - 89</t>
  </si>
  <si>
    <t>SUPERAVIT SGP AGUA POTABLE</t>
  </si>
  <si>
    <t>0308 - 5 - 1 17 92 113 81 - 90</t>
  </si>
  <si>
    <t xml:space="preserve">Mejoramiento y/o optimización de las redes de acueducto y/o alcantarillado de todo el Departamento, Quindío. </t>
  </si>
  <si>
    <t>0308 - 5 - 3 1 1 1 2 3 22 - 90</t>
  </si>
  <si>
    <t>Apoyo en atenciones prioritarias en Agua Potable y/o Saneamiento Básico en el Departamento del Quindio.</t>
  </si>
  <si>
    <t xml:space="preserve">PORCENTAJE </t>
  </si>
  <si>
    <t>SECRETARIA DE HACIENDA</t>
  </si>
  <si>
    <t>Implementar 4 procesos de fiscalización de las Rentas Departamentales</t>
  </si>
  <si>
    <t>201663000-0016</t>
  </si>
  <si>
    <t xml:space="preserve"> Mejoramiento de la sostenibilidad de los procesos de fiscalización liquidación control y cobranza de los tributos en el Departamento del Quindío</t>
  </si>
  <si>
    <t>Implementar una estrategia de cobro coactivo sobre la cartera morosa de las Rentas Departamentales.</t>
  </si>
  <si>
    <t xml:space="preserve">Ejecutar el programa anti contrabando suscrito con la Federación Nacional de Departamentos.                               </t>
  </si>
  <si>
    <t>Elaborar el diagnóstico del sistema de Información tributario y financiero</t>
  </si>
  <si>
    <t>201663000-0017</t>
  </si>
  <si>
    <t xml:space="preserve">Implementación de un programa de gestión fianciera para la optimización de los procesos en el area de tesorería, presupuesto y contabilidad en el Departamento del Quindio </t>
  </si>
  <si>
    <t xml:space="preserve">Implementar un programa para el cumplimiento de las políticas y prácticas contables para la administración departamental         </t>
  </si>
  <si>
    <t xml:space="preserve">SECRETARIA DE TURÍSMO, INDUSTRIA Y COMERCIO </t>
  </si>
  <si>
    <t xml:space="preserve">Crear (1) y fortalecer (3) rutas competitivas </t>
  </si>
  <si>
    <t>201663000-0051</t>
  </si>
  <si>
    <t>Apoyo al mejoramiento de la competitividad a iniciativas  productivas en el  Departamento del Quindío</t>
  </si>
  <si>
    <t>Conformar e implementar (3) tres clúster priorizados en el Plan de Competitividad</t>
  </si>
  <si>
    <t xml:space="preserve">Diseño, formulación y puesta en marcha del Centro  para el desarrollo y el  fortalecimiento de la investigación, tecnología,  Ciencia e Innovación .    </t>
  </si>
  <si>
    <t>0.05</t>
  </si>
  <si>
    <t>201663000-0052</t>
  </si>
  <si>
    <t xml:space="preserve"> Fortalecimiento de  la   competitividad  a través de la  gestión de la innovación  y la tecnocología en el Departamento del Quindio</t>
  </si>
  <si>
    <t xml:space="preserve">Apoyar la formulación del proyecto: Red de conocimiento de agro negocios del departamento </t>
  </si>
  <si>
    <t xml:space="preserve">Diseñar y fortalecer un proyecto de I+D+I </t>
  </si>
  <si>
    <t>Apoyar a doce (12) unidades de emprendimiento para jóvenes emprendedores.</t>
  </si>
  <si>
    <t>201663000-0053</t>
  </si>
  <si>
    <t xml:space="preserve"> Apoyo al emprendimiento, empresarismo, asociatividad y generación de empleo en el departamento del Quindío.</t>
  </si>
  <si>
    <t xml:space="preserve">Diseñar un ecosistema Regional de Emprendimiento y Asociatividad                                                                                     </t>
  </si>
  <si>
    <t>Apoyar   doce (12) Unidades de emprendimiento de grupos poblacionales con enfoque diferencial.</t>
  </si>
  <si>
    <t>Implementar un programa de gesiton financiera para el desarrollo de emprendimiento, empresarismo y asociatividad</t>
  </si>
  <si>
    <t>Fortalecer  doce (12) empresas en procesos internos y externos para la apertura a mercados regionales, nacionales e internacionales</t>
  </si>
  <si>
    <t>201663000-0054  201663000-0055 201663000-0056</t>
  </si>
  <si>
    <t xml:space="preserve">Fortalecimiento de las empresas y gremios del Departamento del Quindío.                                       Implementación de estrategias de exportaciones para el Departamento del Quindío.                                          Fortalecimiento del sector empresarial  hacia mercados globales en el Departamento del Quindio .   </t>
  </si>
  <si>
    <t>Constituir e implementar una agencia de inversión empresarial</t>
  </si>
  <si>
    <t xml:space="preserve">Diseñar la  plataforma de servicios logísticos nacionales e internacionales tendiente a lograr del departamento un centro de articulación de occidente. </t>
  </si>
  <si>
    <t>Diseñar, crear y/o fortalecer 15 Productos turísticos para ser ofertados</t>
  </si>
  <si>
    <t>201663000-0057            201663000-0058                         201663000-0059</t>
  </si>
  <si>
    <t>Consolidación de productos turísticos en todo el Departamento, Quindío, Occidente.                                                         Apoyo a actividades en las diferentes modalidades del turísmo en todo el Departamento, Quindío, Occidente.             Fortalecimiento de la oferta de prestadores de servicos, productos y atractivos turísticos en el Departamento del Quindío.</t>
  </si>
  <si>
    <t>Gestionar y ejecutar (3) proyectos para mejorar la competitividad del Quindío como destino turístico</t>
  </si>
  <si>
    <t>201663000-0060             201663000-0061</t>
  </si>
  <si>
    <t>Apoyo a la competitividad  como destino turístico en el Departamento del Quindío.                 Fortalecimiento del encadenamiento empresarial turístico todo el Departamento, Quindío, Occidente</t>
  </si>
  <si>
    <t>Construcción del Plan de Mercadeo Turístico</t>
  </si>
  <si>
    <t>201663000-0062             201663000-0063</t>
  </si>
  <si>
    <t>Apoyo a la promoción nacional e internacional como destino  turísmo del Departamento del Quindío.       Fortalecimiento de la promoción del destino a nivel nacional e internacional en todo El Departamento, Quindío, Occidente.</t>
  </si>
  <si>
    <t xml:space="preserve">SECRETARIA FAMILIA </t>
  </si>
  <si>
    <t>Implementar  un modelo intersectorial  de atención  integral  y entornos protectores (hogar,  educativo, salud, espacio público e institucionales)   implementado.</t>
  </si>
  <si>
    <t>201663000-0102</t>
  </si>
  <si>
    <t>Implementación de un modelo de atención integral a niños y niñas en entornos protectores en el Departamento del Quindìo</t>
  </si>
  <si>
    <t>Apoyar la creación y/o implementación de Rutas integrales de Atención a la primera infancia.</t>
  </si>
  <si>
    <t xml:space="preserve">Formular  e implementar  la política pública departamental de familias para la construcción  del Quindío como  territorio de paz. </t>
  </si>
  <si>
    <t>201663000-0103      201663000-0104</t>
  </si>
  <si>
    <t>Formulación e implementación de  la politica pública  de la familia en el departamento del Quindio                             Apoyo y fortalecimiento con los programas del centro de atención integral a las familias del Departamento del Quindío.                   Implementación de la  política de primera infancia, infancia y adolescencia en el Departamento del Quindio</t>
  </si>
  <si>
    <t>Implementar la política pública de primera infancia, infancia y adolescencia</t>
  </si>
  <si>
    <t xml:space="preserve"> 201663000-0105            201663000-0106           201663000-0109</t>
  </si>
  <si>
    <t>Divulgación de la política pública de infancia adolescencia en el Quindío.              Asistencia y participación de niños, niñas y adolescentes en los  Consejos de Política Social en todo el Departamento del Quindío.</t>
  </si>
  <si>
    <t xml:space="preserve">Implementar una  estrategia  de prevención y atención de la erradicación del abuso, explotación sexual comercial, trabajo infantil y peores formas de trabajo, y actividades delictivas. </t>
  </si>
  <si>
    <t>201663000-0107          201663000-0108          201663000-0109</t>
  </si>
  <si>
    <t>Apoyo en la Prevención, disminución del maltrato y abuso sexual en niños, niñas y adolescentes en el Departamento del Quindío.                                Apoyo a la disminución de niños, niñas y adolescentes entre 0 y 17 años explotados laboral y sexualmente en el Departamento del Quindío.           Implementación de la  política de primera infancia, infancia y adolescencia en el Departamento del Quindio</t>
  </si>
  <si>
    <t>Implementar  una estrategia de prevención y atención de embarazos y segundos embarazos a temprana edad.</t>
  </si>
  <si>
    <t>201663000-0109</t>
  </si>
  <si>
    <t>Implementación de la  política de primera infancia, infancia y adolescencia en el Departamento del Quindio</t>
  </si>
  <si>
    <t>Revisar, ajustar e implementar la política pública de juventud del departamento</t>
  </si>
  <si>
    <t>201663000-0110                       201663000-0111                 201663000-0112</t>
  </si>
  <si>
    <t>Desarrollo de acciones encaminadas a la atención integral  de los adolescentes y jóvenes del Departamento del Quindio                 Diseño e implementación de programas para la prevención y reducción del consumo de sustancias psicoactivas  en el Departamento del Quindío.                            Apoyo a la promoción de espacios y estilos de vida saludables para jóvenes en el Departamento del Quindío.</t>
  </si>
  <si>
    <t>Desarrollar e implementar una estrategia de prevención del consumo de sustancias psico activas  (SPA)  dirigida a adolescentes y jóvenes del departamento.</t>
  </si>
  <si>
    <t>Implementar  dos (2) estrategias de prevención para adolescentes y jóvenes en riesgo social y/o vinculados a la Ley de responsabilidad  penal</t>
  </si>
  <si>
    <t>201663000-0113</t>
  </si>
  <si>
    <t>Implementación de estrategias de promoción y participación de la juventud en el Departamento del Quindío.</t>
  </si>
  <si>
    <t>Revisar, ajustar  e implementar   la política pública departamental de discapacidad  "Capacidad sin limites",</t>
  </si>
  <si>
    <t>201663000-0114                 201663000-0115                   201663000-0116</t>
  </si>
  <si>
    <t>Actualización e implementación  de   la política pública departamental de discapacidad  "Capacidad sin limites" en el Quindio.                     Asistencia y apoyo a la población con discapacidad en el Departamento del Quindío.                   Implementación de un programa de rehabilitación basado en comunidad, en el Departamento del Quindío.</t>
  </si>
  <si>
    <t>Diseñar e implementar una estrategia  para la atención de la población en situación de vulnerabilidad extrema del departamento. (habitantes de calle, trabajo sexual,    reincidencia delictiva, drogadicción, bandas delincuenciales, entre otras)</t>
  </si>
  <si>
    <t>201663000-0117</t>
  </si>
  <si>
    <t xml:space="preserve">Diseño e implementación  de una estrategia para la atención de la  población  en vulnerabiliada extrema  en el Departamento del Quindio  </t>
  </si>
  <si>
    <t>implementar  un  programa  departamental para la atención y acompañamiento a la población migrante  y de repatriación .</t>
  </si>
  <si>
    <t>201663000-0118                201663000-0119                  201663000-0120</t>
  </si>
  <si>
    <t>Implementación del programa  para la atención y acompañamiento  del ciudadano migrante  y de repatración en el Departamento del Quindio.                          Implementación del plan de acompañamiento al Ciudadano Migrante, (el que sale y el que retorna) del Departamento del Quindío.                     Implementación del plan de acompañamiento para el empleo en el exterior, en escenarios corresponsables de cooperación en el Departamento del Quindío.</t>
  </si>
  <si>
    <t>Apoyar el plan de vida para el resguardo indígena Dachi Agore Drua del municipio de Calarcá</t>
  </si>
  <si>
    <t>201663000-0121            201663000-0122</t>
  </si>
  <si>
    <t xml:space="preserve">Fortalecimiento resguardo  indígena DACHI AGORE DRUA del municipio de Calarcá del Departamento del Quindío.          Apoyo  a la elaboración y puesta marcha de Planes de Vida  de los cabildos indigenas en el departamento del Quindio  </t>
  </si>
  <si>
    <t xml:space="preserve">Implementar  un programa  articulado interinstitucional para la atención integral con enfoque diferencial  a la población afro descendiente del Departamento del Quindío en sus diferentes formas organizativas </t>
  </si>
  <si>
    <t>201663000-0123      201663000-0124</t>
  </si>
  <si>
    <t xml:space="preserve">Apoyo y formación en procesos productivos, culturales que tienen como propósito el rescate de la tradición y la cultura en el Departamento del Quindío.            Implementación de un  programa de atención integral a la población  afrodescendiente en el Departamento del Quindio </t>
  </si>
  <si>
    <t>Formular  la política pública departamental de diversidad sexual e identidad de género</t>
  </si>
  <si>
    <t>201663000-0125</t>
  </si>
  <si>
    <t>Fomulación e implementación de la politca pública  de diversidad sexual en el Departamento del Quindio</t>
  </si>
  <si>
    <t>Revisar, ajustar  e  implementar  la política publica de equidad de género para la  mujer del departamento</t>
  </si>
  <si>
    <t>201663000-0126            201663000-0127            201663000-0128</t>
  </si>
  <si>
    <t>Apoyo a programas que generen oportunidades a las mujeres rurales de todo el Departamento del Quindío.   Prevención y atención integral a las mujeres víctimas de la violencia en todo el Departamento del Quindío.           Implementación de la polìtica pùblica de equidad de género para la mujer en el Departamento del Quindìo</t>
  </si>
  <si>
    <t>Revisar, ajustar  e implementar  la política pública departamental "Un Quindío para todas las edades 2010-2020"</t>
  </si>
  <si>
    <t>201663000-0129</t>
  </si>
  <si>
    <t xml:space="preserve">Apoyo y bienestar integral a las personas mayores del Departamento del Quindio </t>
  </si>
  <si>
    <t xml:space="preserve">Apoyar 12 centros de bienestar del departamento </t>
  </si>
  <si>
    <t xml:space="preserve">Apoyar 14 centros vida del departamento </t>
  </si>
  <si>
    <t xml:space="preserve">SECRETARIA AGRICULTURA, DESARROLLO RURAL Y MEDIO AMBIENTE </t>
  </si>
  <si>
    <t xml:space="preserve">Implementar un (1)  Sistema de Gestión Ambiental Departamental SIGAD </t>
  </si>
  <si>
    <t>201663000-0064                201663000-0065          201663000-0066</t>
  </si>
  <si>
    <t>Generación de entornos favorables y sostenibilidad ambiental para el Departamento del Quindío              Diseño de buenas practicas ambientales en el Departamento del Quindio                  Apoyo a acuerdos de producción limpia y sostenible, en el sector productivo del Departamento del Quindío</t>
  </si>
  <si>
    <t xml:space="preserve">Apoyar cuatro (4) planes de manejo de áreas protegidas del departamento </t>
  </si>
  <si>
    <t xml:space="preserve">Apoyar el Plan Departamental  para la Gestión Integral de la Biodiversidad y sus Servicios Ecosistémicos PDGIB 2013-2024  </t>
  </si>
  <si>
    <t xml:space="preserve">Desarrollar en (5) cinco de los sectores productivos del departamento, actividades de producción más limpia y Buenas Prácticas Ambientales (BPA) </t>
  </si>
  <si>
    <t xml:space="preserve">Apoyar a los doce (12) municipios en las acciones de control y vigilancia de la explotación minera en coordinación con la autoridad ambiental </t>
  </si>
  <si>
    <t>Caracterizar los servicios ecosistémicos en seis  (6) cuencas de abastecimiento de los acueductos municipales con sus correspondientes acciones de mejoramiento</t>
  </si>
  <si>
    <t>201663000-0067</t>
  </si>
  <si>
    <t>Gestón integral de cuencas hirdográficas en el Departamento del Quindío</t>
  </si>
  <si>
    <t xml:space="preserve">Crear e implementar el Fondo del Agua del departamento del Quindío  </t>
  </si>
  <si>
    <t xml:space="preserve">Conservar y restaurar seis (6) áreas de importancia estratégica para el recurso hídrico del departamento </t>
  </si>
  <si>
    <t>201663000-0068</t>
  </si>
  <si>
    <t>Aplicación de mecanismos de protección ambiental en el Departamento del Quindío.</t>
  </si>
  <si>
    <t>Conservar para la sostenibilidad ambiental dos (2) cuencas de los municipios con declaratoria de Paisaje Cultural Cafetero PCC</t>
  </si>
  <si>
    <t>201663000-0069             201663000-0070                  201663000-0071</t>
  </si>
  <si>
    <t>Fortalecimiento  y potencialización de los servicios ecosistemicos en el Departamento del Quindío    Apoyo al manejo y gestión sustentable del paisaje  Departamento del Quindío.                              Fortalecimiento a la sostenibilidad productiva y ambiental del paisaje cultural cafetero en el Departamento del Quindío.</t>
  </si>
  <si>
    <t>Desarrollar treinta y un (31) estrategias de educación ambiental  en los espacios participativos, comunitarios y educativos del departamento</t>
  </si>
  <si>
    <t>Capacitar a doscientos cincuenta (250)   jóvenes,  mujeres, población vulnerable y con enfoque diferencial como líderes ambientales en el departamento.</t>
  </si>
  <si>
    <t>Capacitar a cuatrocientos (400) caficultores del departamento en producción limpia y sostenible con producción de café con taza limpia, catación, tostión y barismo</t>
  </si>
  <si>
    <t>201663000-0072       201663000-0073</t>
  </si>
  <si>
    <t>Fortalecimiento e innovación empresarial  de la caficultura en el Departamento del Quindio                          Mejoramiento de la competitividad de la actividad cafetera, en el Departamento del Quindío.</t>
  </si>
  <si>
    <t>Apoyar la formalización de empresas en cuatro (4)  sectores productivos agropecuarios del Departamento</t>
  </si>
  <si>
    <t>201663000-0074             201663000-0075</t>
  </si>
  <si>
    <t xml:space="preserve">Fortalecimiento de la  Planeación Territorial  del desarrollo  rural  en el Departamento del Quindío.                 Fomento al emprendimiento y  al empleo rural en el Departamento del Quindío  </t>
  </si>
  <si>
    <t>Generar un apalancamiento a 100  iniciativas productivas rurales</t>
  </si>
  <si>
    <t xml:space="preserve">   201663000-0075</t>
  </si>
  <si>
    <t xml:space="preserve">Fomento al emprendimiento y  al empleo rural en el Departamento del Quindío  </t>
  </si>
  <si>
    <t xml:space="preserve">Capacitar mil doscientos (1200)  jóvenes y mujeres rurales en actividades agrícolas y no agrícolas </t>
  </si>
  <si>
    <t>Beneficiar a  dos mil cuatrocientas  (2400) mujeres rurales campesinas, personas en condición de vulnerabilidad y con enfoque diferencial en formación para el trabajo y el desarrollo humano</t>
  </si>
  <si>
    <t>Apoyar (5) cinco sectores productivos del Departamento en ruedas de negocio</t>
  </si>
  <si>
    <t>201663000-0076             201663000-0077              201663000-0078</t>
  </si>
  <si>
    <t>Mejoramiento de la competitividad rural Departamento del Quindío.              Mejoramiento de la producción agropecuaria sostenible, en el Departamento del Quindío.                  Fortalecimiento a la competitividad productiva y empresarial del sector rural en el Departamento del Quindio</t>
  </si>
  <si>
    <t>Realizar (3) tres eventos  de capacitación para acceder a mercados internacionales</t>
  </si>
  <si>
    <t>201663000-0078</t>
  </si>
  <si>
    <t>Fortalecimiento a la competitividad productiva y empresarial del sector rural en el Departamento del Quindio</t>
  </si>
  <si>
    <t>Diseñar e implementar un (1) programa de agricultura familiar campesina</t>
  </si>
  <si>
    <t>201663000-0079</t>
  </si>
  <si>
    <t>Fomento a la agricultura familiar , urbana y  mercados campesinos para la soberanía y  Seguridad alimentaria en el Departamento del Quindio.</t>
  </si>
  <si>
    <t>Apoyar la conformación de cuatro (4) alianzas para contratos de compra anticipada de productos de la agricultura familiar en el departamento del Quindío</t>
  </si>
  <si>
    <t>Beneficiar a 2400 familias urbanas y periurbanas con parcelas de agricultura familiar para autoconsumo y comercio de excedentes</t>
  </si>
  <si>
    <t>201663000-0080</t>
  </si>
  <si>
    <t>Fortalecimiento a programas de seguridad alimentaria en el Departamento del Quindío.</t>
  </si>
  <si>
    <t xml:space="preserve">SECRETARIA REPRESENTACION JUDICIAL </t>
  </si>
  <si>
    <t>Establecer y socializar veinte (20)  políticas desde la cultura de la legalidad y  la prevención de daño antijurídico en los municipios del departamento</t>
  </si>
  <si>
    <t>201663000-0130             201663000-0131</t>
  </si>
  <si>
    <t>Fortalecimiento de la Gestión Jurídica en el Departamento del Quindío.              Formulación adopción e implementación de políticas de prevención del daño antijurídico en el Departamento del Quindío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</si>
</sst>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0_-;\-* #,##0.00_-;_-* &quot;-&quot;??_-;_-@_-"/>
    <numFmt numFmtId="165" formatCode="_(* #,##0_);_(* \(#,##0\);_(* &quot;-&quot;??_);_(@_)"/>
    <numFmt numFmtId="166" formatCode="0.0"/>
    <numFmt numFmtId="167" formatCode="_(* #,##0.0000_);_(* \(#,##0.0000\);_(* &quot;-&quot;??_);_(@_)"/>
  </numFmts>
  <fonts count="19"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4"/>
      <color theme="1"/>
      <name val="Arial"/>
      <family val="2"/>
    </font>
    <font>
      <b/>
      <sz val="14"/>
      <color rgb="FFFF0000"/>
      <name val="Calibri"/>
      <family val="2"/>
      <scheme val="minor"/>
    </font>
    <font>
      <sz val="11"/>
      <color theme="1"/>
      <name val="Arial"/>
      <family val="2"/>
    </font>
    <font>
      <sz val="11"/>
      <color rgb="FFFF0000"/>
      <name val="Arial"/>
      <family val="2"/>
    </font>
    <font>
      <b/>
      <sz val="11"/>
      <color rgb="FFFF0000"/>
      <name val="Calibri"/>
      <family val="2"/>
      <scheme val="minor"/>
    </font>
    <font>
      <b/>
      <sz val="11"/>
      <color rgb="FFFF0000"/>
      <name val="Arial"/>
      <family val="2"/>
    </font>
    <font>
      <sz val="14"/>
      <color theme="1"/>
      <name val="Arial"/>
      <family val="2"/>
    </font>
    <font>
      <sz val="14"/>
      <color rgb="FFFF0000"/>
      <name val="Arial"/>
      <family val="2"/>
    </font>
    <font>
      <sz val="11"/>
      <color indexed="8"/>
      <name val="Calibri"/>
      <family val="2"/>
    </font>
    <font>
      <sz val="11"/>
      <name val="Calibri"/>
      <family val="2"/>
      <scheme val="minor"/>
    </font>
    <font>
      <sz val="11"/>
      <name val="Arial"/>
      <family val="2"/>
    </font>
    <font>
      <sz val="11"/>
      <color theme="1"/>
      <name val="Calibri"/>
      <family val="2"/>
    </font>
    <font>
      <sz val="10"/>
      <color theme="1"/>
      <name val="Arial"/>
      <family val="2"/>
    </font>
    <font>
      <sz val="10"/>
      <color rgb="FFFF0000"/>
      <name val="Arial"/>
      <family val="2"/>
    </font>
  </fonts>
  <fills count="8">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indexed="9"/>
        <bgColor indexed="64"/>
      </patternFill>
    </fill>
    <fill>
      <patternFill patternType="solid">
        <fgColor rgb="FFFFFF00"/>
        <bgColor indexed="64"/>
      </patternFill>
    </fill>
    <fill>
      <patternFill patternType="solid">
        <fgColor rgb="FF92D050"/>
        <bgColor indexed="64"/>
      </patternFill>
    </fill>
    <fill>
      <patternFill patternType="solid">
        <fgColor theme="8"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auto="1"/>
      </left>
      <right style="thin">
        <color auto="1"/>
      </right>
      <top style="thin">
        <color auto="1"/>
      </top>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3" fontId="13" fillId="0" borderId="0" applyFont="0" applyFill="0" applyBorder="0" applyAlignment="0" applyProtection="0"/>
    <xf numFmtId="9" fontId="13" fillId="0" borderId="0" applyFont="0" applyFill="0" applyBorder="0" applyAlignment="0" applyProtection="0"/>
  </cellStyleXfs>
  <cellXfs count="262">
    <xf numFmtId="0" fontId="0" fillId="0" borderId="0" xfId="0"/>
    <xf numFmtId="0" fontId="4" fillId="0" borderId="0" xfId="0" applyFont="1" applyAlignment="1">
      <alignment horizontal="center"/>
    </xf>
    <xf numFmtId="0" fontId="4" fillId="0" borderId="0" xfId="0" applyFont="1"/>
    <xf numFmtId="0" fontId="5" fillId="0" borderId="0" xfId="0" applyFont="1"/>
    <xf numFmtId="0" fontId="0" fillId="0" borderId="0" xfId="0" applyAlignment="1">
      <alignment horizontal="center"/>
    </xf>
    <xf numFmtId="0" fontId="7" fillId="0" borderId="0" xfId="0" applyFont="1"/>
    <xf numFmtId="0" fontId="3" fillId="0" borderId="1" xfId="0" applyFont="1" applyBorder="1" applyAlignment="1">
      <alignment horizontal="center" vertical="center" wrapText="1"/>
    </xf>
    <xf numFmtId="0" fontId="3" fillId="0" borderId="1" xfId="0" applyFont="1" applyBorder="1" applyAlignment="1">
      <alignment horizontal="justify" vertical="center" wrapText="1"/>
    </xf>
    <xf numFmtId="0" fontId="3" fillId="0" borderId="1" xfId="0" applyFont="1" applyBorder="1" applyAlignment="1">
      <alignment horizontal="center" vertical="justify"/>
    </xf>
    <xf numFmtId="0" fontId="0" fillId="0" borderId="1" xfId="0" applyBorder="1" applyAlignment="1">
      <alignment horizontal="center" vertical="center"/>
    </xf>
    <xf numFmtId="0" fontId="7" fillId="0" borderId="1" xfId="0" applyFont="1" applyFill="1" applyBorder="1" applyAlignment="1">
      <alignment horizontal="left" vertical="center" wrapText="1"/>
    </xf>
    <xf numFmtId="0" fontId="7" fillId="2" borderId="1" xfId="0" applyFont="1" applyFill="1" applyBorder="1" applyAlignment="1">
      <alignment horizontal="justify" vertical="center" wrapText="1"/>
    </xf>
    <xf numFmtId="0" fontId="7" fillId="0" borderId="1" xfId="0" applyNumberFormat="1" applyFont="1" applyBorder="1" applyAlignment="1">
      <alignment horizontal="center" vertical="center"/>
    </xf>
    <xf numFmtId="0" fontId="7" fillId="2" borderId="1" xfId="0" applyNumberFormat="1" applyFont="1" applyFill="1" applyBorder="1" applyAlignment="1">
      <alignment horizontal="center" vertical="center"/>
    </xf>
    <xf numFmtId="0" fontId="8" fillId="2" borderId="1" xfId="0" applyNumberFormat="1" applyFont="1" applyFill="1" applyBorder="1" applyAlignment="1">
      <alignment horizontal="center" vertical="center"/>
    </xf>
    <xf numFmtId="0" fontId="7" fillId="0" borderId="1" xfId="0" applyFont="1" applyFill="1" applyBorder="1" applyAlignment="1">
      <alignment horizontal="center" vertical="center" wrapText="1"/>
    </xf>
    <xf numFmtId="164" fontId="7" fillId="0" borderId="2" xfId="3" applyFont="1" applyBorder="1" applyAlignment="1">
      <alignment horizontal="justify" vertical="center"/>
    </xf>
    <xf numFmtId="164" fontId="8" fillId="0" borderId="2" xfId="3" applyFont="1" applyBorder="1" applyAlignment="1">
      <alignment horizontal="justify" vertical="center"/>
    </xf>
    <xf numFmtId="164" fontId="8" fillId="0" borderId="1" xfId="3" applyFont="1" applyBorder="1" applyAlignment="1">
      <alignment horizontal="justify" vertical="center"/>
    </xf>
    <xf numFmtId="0" fontId="0" fillId="3" borderId="1" xfId="0" applyFill="1" applyBorder="1" applyAlignment="1">
      <alignment horizontal="center" vertical="center"/>
    </xf>
    <xf numFmtId="0" fontId="9" fillId="0" borderId="1" xfId="0" applyFont="1" applyBorder="1" applyAlignment="1">
      <alignment horizontal="center" vertical="justify"/>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10" fillId="0" borderId="1" xfId="0" applyFont="1" applyBorder="1" applyAlignment="1">
      <alignment horizontal="center" vertical="center"/>
    </xf>
    <xf numFmtId="0" fontId="0" fillId="0" borderId="1" xfId="0" applyBorder="1"/>
    <xf numFmtId="0" fontId="7" fillId="0" borderId="1" xfId="0" applyFont="1" applyBorder="1" applyAlignment="1">
      <alignment horizontal="center"/>
    </xf>
    <xf numFmtId="0" fontId="0" fillId="0" borderId="1" xfId="0" applyFont="1" applyBorder="1"/>
    <xf numFmtId="0" fontId="0" fillId="0" borderId="1" xfId="0" applyFont="1" applyBorder="1" applyAlignment="1">
      <alignment horizontal="center" vertical="center"/>
    </xf>
    <xf numFmtId="0" fontId="9" fillId="0" borderId="1" xfId="0" applyFont="1" applyBorder="1"/>
    <xf numFmtId="0" fontId="2" fillId="0" borderId="1" xfId="0" applyFont="1" applyBorder="1" applyAlignment="1">
      <alignment horizontal="center" vertical="center"/>
    </xf>
    <xf numFmtId="0" fontId="7" fillId="0" borderId="1" xfId="0" applyFont="1" applyBorder="1" applyAlignment="1">
      <alignment horizontal="justify"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164" fontId="7" fillId="0" borderId="1" xfId="3" applyFont="1" applyFill="1" applyBorder="1" applyAlignment="1">
      <alignment horizontal="justify" vertical="center"/>
    </xf>
    <xf numFmtId="164" fontId="8" fillId="0" borderId="1" xfId="3" applyFont="1" applyFill="1" applyBorder="1" applyAlignment="1">
      <alignment horizontal="justify" vertical="center"/>
    </xf>
    <xf numFmtId="2" fontId="0" fillId="3" borderId="1" xfId="0" applyNumberFormat="1" applyFill="1" applyBorder="1" applyAlignment="1">
      <alignment horizontal="center" vertical="center"/>
    </xf>
    <xf numFmtId="0" fontId="7"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164" fontId="0" fillId="0" borderId="0" xfId="0" applyNumberFormat="1"/>
    <xf numFmtId="0" fontId="8" fillId="0" borderId="2" xfId="0" applyFont="1" applyBorder="1" applyAlignment="1">
      <alignment horizontal="center" vertical="center" wrapText="1"/>
    </xf>
    <xf numFmtId="0" fontId="7" fillId="0" borderId="1" xfId="0" applyFont="1" applyFill="1" applyBorder="1" applyAlignment="1">
      <alignment horizontal="justify" vertical="center" wrapText="1"/>
    </xf>
    <xf numFmtId="0" fontId="7" fillId="0" borderId="1" xfId="0" applyFont="1" applyFill="1" applyBorder="1" applyAlignment="1">
      <alignment horizontal="center" vertical="center"/>
    </xf>
    <xf numFmtId="0" fontId="7" fillId="4" borderId="1" xfId="0" applyFont="1" applyFill="1" applyBorder="1" applyAlignment="1">
      <alignment horizontal="center" vertical="center"/>
    </xf>
    <xf numFmtId="0" fontId="8" fillId="4" borderId="1" xfId="0" applyFont="1" applyFill="1" applyBorder="1" applyAlignment="1">
      <alignment horizontal="center" vertical="center"/>
    </xf>
    <xf numFmtId="164" fontId="11" fillId="0" borderId="1" xfId="3" applyFont="1" applyBorder="1" applyAlignment="1">
      <alignment horizontal="justify" vertical="center"/>
    </xf>
    <xf numFmtId="164" fontId="12" fillId="0" borderId="1" xfId="3" applyFont="1" applyBorder="1" applyAlignment="1">
      <alignment horizontal="justify" vertical="center"/>
    </xf>
    <xf numFmtId="0" fontId="8" fillId="0" borderId="1" xfId="0" applyFont="1" applyFill="1" applyBorder="1" applyAlignment="1">
      <alignment horizontal="center" vertical="center"/>
    </xf>
    <xf numFmtId="164" fontId="11" fillId="0" borderId="2" xfId="3" applyFont="1" applyBorder="1" applyAlignment="1">
      <alignment horizontal="justify" vertical="center"/>
    </xf>
    <xf numFmtId="164" fontId="12" fillId="0" borderId="2" xfId="3" applyFont="1" applyBorder="1" applyAlignment="1">
      <alignment horizontal="justify" vertical="center"/>
    </xf>
    <xf numFmtId="164" fontId="12" fillId="0" borderId="1" xfId="3" applyFont="1" applyFill="1" applyBorder="1" applyAlignment="1">
      <alignment horizontal="justify" vertical="center"/>
    </xf>
    <xf numFmtId="0" fontId="3" fillId="0" borderId="1" xfId="0" applyFont="1" applyBorder="1" applyAlignment="1">
      <alignment horizontal="center" vertical="center"/>
    </xf>
    <xf numFmtId="0" fontId="3" fillId="0" borderId="1" xfId="0" applyFont="1" applyBorder="1" applyAlignment="1">
      <alignment vertical="center"/>
    </xf>
    <xf numFmtId="164" fontId="9" fillId="0" borderId="1" xfId="0" applyNumberFormat="1" applyFont="1" applyBorder="1" applyAlignment="1">
      <alignment vertical="center"/>
    </xf>
    <xf numFmtId="0" fontId="0" fillId="0" borderId="0" xfId="0" applyAlignment="1">
      <alignment horizontal="center" vertical="center"/>
    </xf>
    <xf numFmtId="0" fontId="3" fillId="0" borderId="4" xfId="0" applyFont="1" applyBorder="1" applyAlignment="1">
      <alignment horizontal="center" vertical="center"/>
    </xf>
    <xf numFmtId="0" fontId="3" fillId="0" borderId="4" xfId="0" applyFont="1" applyBorder="1" applyAlignment="1">
      <alignment horizontal="center" vertical="center" wrapText="1"/>
    </xf>
    <xf numFmtId="0" fontId="3" fillId="0" borderId="4" xfId="0" applyFont="1" applyBorder="1" applyAlignment="1">
      <alignment vertical="center"/>
    </xf>
    <xf numFmtId="3" fontId="3" fillId="0" borderId="4" xfId="0" applyNumberFormat="1" applyFont="1" applyBorder="1" applyAlignment="1">
      <alignment vertical="center"/>
    </xf>
    <xf numFmtId="0" fontId="3" fillId="0" borderId="4" xfId="0" applyFont="1" applyBorder="1" applyAlignment="1">
      <alignment horizontal="center" vertical="justify"/>
    </xf>
    <xf numFmtId="1" fontId="8" fillId="0" borderId="1" xfId="2" applyNumberFormat="1" applyFont="1" applyBorder="1" applyAlignment="1">
      <alignment horizontal="center" vertical="center"/>
    </xf>
    <xf numFmtId="1" fontId="7" fillId="0" borderId="1" xfId="0" applyNumberFormat="1" applyFont="1" applyFill="1" applyBorder="1" applyAlignment="1">
      <alignment horizontal="center" vertical="center" wrapText="1"/>
    </xf>
    <xf numFmtId="3" fontId="0" fillId="0" borderId="1" xfId="0" applyNumberFormat="1" applyBorder="1" applyAlignment="1">
      <alignment vertical="center"/>
    </xf>
    <xf numFmtId="0" fontId="7" fillId="4" borderId="1" xfId="0" applyFont="1" applyFill="1" applyBorder="1" applyAlignment="1">
      <alignment horizontal="justify" vertical="center" wrapText="1"/>
    </xf>
    <xf numFmtId="0" fontId="8" fillId="0" borderId="1" xfId="0" applyNumberFormat="1" applyFont="1" applyBorder="1" applyAlignment="1">
      <alignment horizontal="center" vertical="center"/>
    </xf>
    <xf numFmtId="2" fontId="8" fillId="0" borderId="1" xfId="0" applyNumberFormat="1" applyFont="1" applyBorder="1" applyAlignment="1">
      <alignment horizontal="center" vertical="center"/>
    </xf>
    <xf numFmtId="3" fontId="0" fillId="0" borderId="1" xfId="0" applyNumberFormat="1" applyBorder="1" applyAlignment="1">
      <alignment horizontal="right" vertical="center"/>
    </xf>
    <xf numFmtId="2" fontId="0" fillId="5" borderId="1" xfId="0" applyNumberFormat="1" applyFill="1" applyBorder="1" applyAlignment="1">
      <alignment horizontal="center" vertical="center"/>
    </xf>
    <xf numFmtId="0" fontId="7" fillId="0" borderId="1" xfId="0" applyNumberFormat="1"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xf>
    <xf numFmtId="2" fontId="8" fillId="0" borderId="1" xfId="0" applyNumberFormat="1" applyFont="1" applyFill="1" applyBorder="1" applyAlignment="1">
      <alignment horizontal="center" vertical="center"/>
    </xf>
    <xf numFmtId="0" fontId="7" fillId="0" borderId="1" xfId="0" applyNumberFormat="1" applyFont="1" applyBorder="1" applyAlignment="1">
      <alignment horizontal="center" vertical="center" wrapText="1"/>
    </xf>
    <xf numFmtId="2" fontId="8" fillId="0" borderId="1" xfId="0" applyNumberFormat="1" applyFont="1" applyBorder="1" applyAlignment="1">
      <alignment horizontal="center" vertical="center" wrapText="1"/>
    </xf>
    <xf numFmtId="1" fontId="8" fillId="0" borderId="1" xfId="0" applyNumberFormat="1" applyFont="1" applyBorder="1" applyAlignment="1">
      <alignment horizontal="center" vertical="center"/>
    </xf>
    <xf numFmtId="0" fontId="7" fillId="2" borderId="1" xfId="0" applyFont="1" applyFill="1" applyBorder="1" applyAlignment="1">
      <alignment horizontal="left" vertical="center" wrapText="1"/>
    </xf>
    <xf numFmtId="0" fontId="9" fillId="0" borderId="1" xfId="0" applyFont="1" applyBorder="1" applyAlignment="1">
      <alignment vertical="center"/>
    </xf>
    <xf numFmtId="3" fontId="9" fillId="0" borderId="1" xfId="0" applyNumberFormat="1" applyFont="1" applyBorder="1" applyAlignment="1">
      <alignment vertical="center"/>
    </xf>
    <xf numFmtId="2" fontId="0" fillId="0" borderId="1" xfId="0" applyNumberFormat="1" applyBorder="1" applyAlignment="1">
      <alignment horizontal="center" vertical="center"/>
    </xf>
    <xf numFmtId="0" fontId="3" fillId="0" borderId="1" xfId="0" applyFont="1" applyBorder="1"/>
    <xf numFmtId="3" fontId="0" fillId="0" borderId="0" xfId="0" applyNumberFormat="1" applyAlignment="1">
      <alignment vertical="center"/>
    </xf>
    <xf numFmtId="0" fontId="4" fillId="0" borderId="0" xfId="0" applyFont="1" applyAlignment="1">
      <alignment horizontal="center" vertical="center"/>
    </xf>
    <xf numFmtId="3" fontId="7" fillId="0" borderId="1"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43" fontId="7" fillId="0" borderId="2" xfId="1" applyFont="1" applyFill="1" applyBorder="1" applyAlignment="1">
      <alignment horizontal="justify" vertical="center"/>
    </xf>
    <xf numFmtId="43" fontId="8" fillId="0" borderId="2" xfId="1" applyFont="1" applyFill="1" applyBorder="1" applyAlignment="1">
      <alignment horizontal="justify" vertical="center"/>
    </xf>
    <xf numFmtId="43" fontId="8" fillId="0" borderId="1" xfId="1" applyFont="1" applyFill="1" applyBorder="1" applyAlignment="1">
      <alignment horizontal="justify" vertical="center"/>
    </xf>
    <xf numFmtId="3" fontId="7" fillId="0" borderId="1" xfId="0" applyNumberFormat="1" applyFont="1" applyBorder="1" applyAlignment="1">
      <alignment horizontal="center" vertical="center" wrapText="1"/>
    </xf>
    <xf numFmtId="43" fontId="7" fillId="0" borderId="2" xfId="1" applyFont="1" applyBorder="1" applyAlignment="1">
      <alignment horizontal="justify" vertical="center"/>
    </xf>
    <xf numFmtId="43" fontId="8" fillId="0" borderId="2" xfId="1" applyFont="1" applyBorder="1" applyAlignment="1">
      <alignment horizontal="justify" vertical="center"/>
    </xf>
    <xf numFmtId="43" fontId="8" fillId="0" borderId="1" xfId="1" applyFont="1" applyBorder="1" applyAlignment="1">
      <alignment horizontal="justify" vertical="center"/>
    </xf>
    <xf numFmtId="3" fontId="8" fillId="0" borderId="1" xfId="0" applyNumberFormat="1" applyFont="1" applyFill="1" applyBorder="1" applyAlignment="1">
      <alignment horizontal="center" vertical="center" wrapText="1"/>
    </xf>
    <xf numFmtId="2" fontId="14" fillId="6" borderId="1" xfId="0" applyNumberFormat="1" applyFont="1" applyFill="1" applyBorder="1" applyAlignment="1">
      <alignment horizontal="center" vertical="center"/>
    </xf>
    <xf numFmtId="10" fontId="7"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wrapText="1"/>
    </xf>
    <xf numFmtId="2" fontId="0" fillId="6" borderId="1" xfId="0" applyNumberFormat="1" applyFill="1" applyBorder="1" applyAlignment="1">
      <alignment horizontal="center" vertical="center"/>
    </xf>
    <xf numFmtId="4" fontId="8" fillId="0" borderId="2" xfId="0" applyNumberFormat="1" applyFont="1" applyFill="1" applyBorder="1" applyAlignment="1">
      <alignment horizontal="center" vertical="center" wrapText="1"/>
    </xf>
    <xf numFmtId="43" fontId="7" fillId="0" borderId="1" xfId="1" applyFont="1" applyBorder="1" applyAlignment="1">
      <alignment horizontal="justify" vertical="center"/>
    </xf>
    <xf numFmtId="3" fontId="7" fillId="0" borderId="1" xfId="0" applyNumberFormat="1" applyFont="1" applyFill="1" applyBorder="1" applyAlignment="1">
      <alignment horizontal="center" vertical="center"/>
    </xf>
    <xf numFmtId="3" fontId="8" fillId="0" borderId="1" xfId="0" applyNumberFormat="1" applyFont="1" applyFill="1" applyBorder="1" applyAlignment="1">
      <alignment horizontal="center" vertical="center"/>
    </xf>
    <xf numFmtId="3" fontId="0" fillId="0" borderId="1" xfId="0" applyNumberFormat="1" applyFont="1" applyFill="1" applyBorder="1" applyAlignment="1">
      <alignment horizontal="center" vertical="center"/>
    </xf>
    <xf numFmtId="3" fontId="2" fillId="0" borderId="1"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3" fontId="2" fillId="0" borderId="2" xfId="0" applyNumberFormat="1" applyFont="1" applyFill="1" applyBorder="1" applyAlignment="1">
      <alignment horizontal="center" vertical="center"/>
    </xf>
    <xf numFmtId="0" fontId="7" fillId="0" borderId="2" xfId="0" applyFont="1" applyFill="1" applyBorder="1" applyAlignment="1">
      <alignment horizontal="justify" vertical="center" wrapText="1"/>
    </xf>
    <xf numFmtId="3" fontId="7" fillId="2" borderId="1" xfId="0" applyNumberFormat="1" applyFont="1" applyFill="1" applyBorder="1" applyAlignment="1">
      <alignment horizontal="center" vertical="center"/>
    </xf>
    <xf numFmtId="3" fontId="8" fillId="2" borderId="1" xfId="0" applyNumberFormat="1" applyFont="1" applyFill="1" applyBorder="1" applyAlignment="1">
      <alignment horizontal="center" vertical="center"/>
    </xf>
    <xf numFmtId="3" fontId="7" fillId="0" borderId="1" xfId="0" applyNumberFormat="1" applyFont="1" applyBorder="1" applyAlignment="1">
      <alignment horizontal="center" vertical="center"/>
    </xf>
    <xf numFmtId="3" fontId="8" fillId="0" borderId="1" xfId="0" applyNumberFormat="1" applyFont="1" applyBorder="1" applyAlignment="1">
      <alignment horizontal="center" vertical="center"/>
    </xf>
    <xf numFmtId="2" fontId="8" fillId="0" borderId="2" xfId="0" applyNumberFormat="1"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1" xfId="0" applyFont="1" applyFill="1" applyBorder="1" applyAlignment="1">
      <alignment horizontal="justify" vertical="center" wrapText="1"/>
    </xf>
    <xf numFmtId="9" fontId="7" fillId="0" borderId="1" xfId="5" applyFont="1" applyFill="1" applyBorder="1" applyAlignment="1">
      <alignment horizontal="center" vertical="center" wrapText="1"/>
    </xf>
    <xf numFmtId="9" fontId="8" fillId="0" borderId="1" xfId="5" applyFont="1" applyFill="1" applyBorder="1" applyAlignment="1">
      <alignment horizontal="center" vertical="center" wrapText="1"/>
    </xf>
    <xf numFmtId="0" fontId="0" fillId="0" borderId="1" xfId="0" applyFont="1" applyFill="1" applyBorder="1" applyAlignment="1">
      <alignment horizontal="justify" vertical="center" wrapText="1"/>
    </xf>
    <xf numFmtId="3" fontId="8" fillId="2" borderId="4" xfId="0" applyNumberFormat="1" applyFont="1" applyFill="1" applyBorder="1" applyAlignment="1">
      <alignment horizontal="center" vertical="center"/>
    </xf>
    <xf numFmtId="3" fontId="8" fillId="2" borderId="2" xfId="0" applyNumberFormat="1" applyFont="1" applyFill="1" applyBorder="1" applyAlignment="1">
      <alignment horizontal="center" vertical="center"/>
    </xf>
    <xf numFmtId="0" fontId="8" fillId="0" borderId="1" xfId="0" applyFont="1" applyFill="1" applyBorder="1" applyAlignment="1">
      <alignment horizontal="justify" vertical="center" wrapText="1"/>
    </xf>
    <xf numFmtId="0" fontId="2" fillId="0" borderId="1" xfId="0" applyFont="1" applyBorder="1" applyAlignment="1">
      <alignment vertical="center"/>
    </xf>
    <xf numFmtId="43" fontId="2" fillId="0" borderId="1" xfId="0" applyNumberFormat="1" applyFont="1" applyBorder="1" applyAlignment="1">
      <alignment vertical="center"/>
    </xf>
    <xf numFmtId="2" fontId="7" fillId="0" borderId="1" xfId="0" applyNumberFormat="1" applyFont="1" applyBorder="1" applyAlignment="1">
      <alignment horizontal="center"/>
    </xf>
    <xf numFmtId="2" fontId="8" fillId="0" borderId="1" xfId="0" applyNumberFormat="1" applyFont="1" applyBorder="1" applyAlignment="1">
      <alignment horizontal="center"/>
    </xf>
    <xf numFmtId="0" fontId="7" fillId="0" borderId="3" xfId="0" applyFont="1" applyFill="1" applyBorder="1" applyAlignment="1">
      <alignment horizontal="left" vertical="center" wrapText="1"/>
    </xf>
    <xf numFmtId="0" fontId="7" fillId="0" borderId="2" xfId="0" applyNumberFormat="1" applyFont="1" applyBorder="1" applyAlignment="1">
      <alignment horizontal="center" vertical="center"/>
    </xf>
    <xf numFmtId="0" fontId="7" fillId="0" borderId="2" xfId="0" applyNumberFormat="1" applyFont="1" applyFill="1" applyBorder="1" applyAlignment="1">
      <alignment horizontal="center" vertical="center"/>
    </xf>
    <xf numFmtId="0" fontId="8" fillId="2" borderId="2" xfId="0" applyNumberFormat="1" applyFont="1" applyFill="1" applyBorder="1" applyAlignment="1">
      <alignment horizontal="center" vertical="center"/>
    </xf>
    <xf numFmtId="165" fontId="7" fillId="0" borderId="2" xfId="3" applyNumberFormat="1" applyFont="1" applyBorder="1" applyAlignment="1">
      <alignment horizontal="justify" vertical="center"/>
    </xf>
    <xf numFmtId="165" fontId="8" fillId="0" borderId="2" xfId="3" applyNumberFormat="1" applyFont="1" applyBorder="1" applyAlignment="1">
      <alignment horizontal="justify" vertical="center"/>
    </xf>
    <xf numFmtId="165" fontId="7" fillId="0" borderId="1" xfId="3" applyNumberFormat="1" applyFont="1" applyBorder="1" applyAlignment="1">
      <alignment horizontal="justify" vertical="center"/>
    </xf>
    <xf numFmtId="165" fontId="8" fillId="0" borderId="1" xfId="3" applyNumberFormat="1" applyFont="1" applyBorder="1" applyAlignment="1">
      <alignment horizontal="justify" vertical="center"/>
    </xf>
    <xf numFmtId="0" fontId="7" fillId="0" borderId="4" xfId="0" applyFont="1" applyFill="1" applyBorder="1" applyAlignment="1">
      <alignment horizontal="left" vertical="center" wrapText="1"/>
    </xf>
    <xf numFmtId="0" fontId="7" fillId="0" borderId="4" xfId="0" applyFont="1" applyFill="1" applyBorder="1" applyAlignment="1">
      <alignment horizontal="justify" vertical="center" wrapText="1"/>
    </xf>
    <xf numFmtId="0" fontId="7" fillId="0" borderId="4" xfId="0" applyNumberFormat="1" applyFont="1" applyBorder="1" applyAlignment="1">
      <alignment horizontal="center" vertical="center"/>
    </xf>
    <xf numFmtId="0" fontId="7" fillId="0" borderId="4" xfId="0" applyNumberFormat="1" applyFont="1" applyFill="1" applyBorder="1" applyAlignment="1">
      <alignment horizontal="center" vertical="center"/>
    </xf>
    <xf numFmtId="2" fontId="8" fillId="2" borderId="4" xfId="0" applyNumberFormat="1" applyFont="1" applyFill="1" applyBorder="1" applyAlignment="1">
      <alignment horizontal="center" vertical="center"/>
    </xf>
    <xf numFmtId="2" fontId="8" fillId="2" borderId="1" xfId="0" applyNumberFormat="1" applyFont="1" applyFill="1" applyBorder="1" applyAlignment="1">
      <alignment horizontal="center" vertical="center"/>
    </xf>
    <xf numFmtId="0" fontId="8" fillId="2" borderId="4" xfId="0" applyNumberFormat="1"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3" xfId="0" applyFont="1" applyFill="1" applyBorder="1" applyAlignment="1">
      <alignment horizontal="justify" vertical="center" wrapText="1"/>
    </xf>
    <xf numFmtId="165" fontId="7" fillId="0" borderId="4" xfId="3" applyNumberFormat="1" applyFont="1" applyBorder="1" applyAlignment="1">
      <alignment horizontal="justify" vertical="center"/>
    </xf>
    <xf numFmtId="165" fontId="8" fillId="0" borderId="3" xfId="3" applyNumberFormat="1" applyFont="1" applyBorder="1" applyAlignment="1">
      <alignment horizontal="justify" vertical="center"/>
    </xf>
    <xf numFmtId="165" fontId="8" fillId="0" borderId="4" xfId="3" applyNumberFormat="1" applyFont="1" applyBorder="1" applyAlignment="1">
      <alignment horizontal="justify" vertical="center"/>
    </xf>
    <xf numFmtId="0" fontId="0" fillId="0" borderId="1" xfId="0" applyBorder="1" applyAlignment="1">
      <alignment horizontal="center"/>
    </xf>
    <xf numFmtId="165" fontId="7" fillId="0" borderId="1" xfId="0" applyNumberFormat="1" applyFont="1" applyBorder="1"/>
    <xf numFmtId="1" fontId="8" fillId="2" borderId="1" xfId="0" applyNumberFormat="1" applyFont="1" applyFill="1" applyBorder="1" applyAlignment="1">
      <alignment horizontal="center" vertical="center"/>
    </xf>
    <xf numFmtId="164" fontId="7" fillId="0" borderId="1" xfId="3" applyFont="1" applyBorder="1" applyAlignment="1">
      <alignment horizontal="justify" vertical="center"/>
    </xf>
    <xf numFmtId="0" fontId="16" fillId="0" borderId="1" xfId="0" applyNumberFormat="1"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7" fillId="0" borderId="1" xfId="4"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xf>
    <xf numFmtId="0" fontId="8" fillId="0" borderId="2" xfId="0" applyNumberFormat="1" applyFont="1" applyFill="1" applyBorder="1" applyAlignment="1">
      <alignment horizontal="center" vertical="center"/>
    </xf>
    <xf numFmtId="0" fontId="2" fillId="0" borderId="3" xfId="0" applyFont="1" applyFill="1" applyBorder="1" applyAlignment="1">
      <alignment horizontal="center" vertical="center"/>
    </xf>
    <xf numFmtId="0" fontId="2" fillId="2" borderId="4" xfId="0" applyFont="1" applyFill="1" applyBorder="1" applyAlignment="1">
      <alignment horizontal="center" vertical="center"/>
    </xf>
    <xf numFmtId="0" fontId="8" fillId="0" borderId="1" xfId="0" applyFont="1" applyBorder="1" applyAlignment="1">
      <alignment horizontal="justify" vertical="center" wrapText="1"/>
    </xf>
    <xf numFmtId="0" fontId="8" fillId="0" borderId="1" xfId="0" applyFont="1" applyFill="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horizontal="justify" vertical="justify"/>
    </xf>
    <xf numFmtId="0" fontId="2" fillId="0" borderId="1" xfId="0" applyFont="1" applyBorder="1" applyAlignment="1">
      <alignment horizontal="center" vertical="justify"/>
    </xf>
    <xf numFmtId="0" fontId="2" fillId="0" borderId="1" xfId="0" applyFont="1" applyBorder="1"/>
    <xf numFmtId="0" fontId="0" fillId="0" borderId="0" xfId="0" applyBorder="1"/>
    <xf numFmtId="3" fontId="3" fillId="7" borderId="4" xfId="0" applyNumberFormat="1" applyFont="1" applyFill="1" applyBorder="1" applyAlignment="1">
      <alignment horizontal="center" vertical="center" wrapText="1"/>
    </xf>
    <xf numFmtId="3" fontId="3" fillId="7" borderId="1" xfId="0" applyNumberFormat="1" applyFont="1" applyFill="1" applyBorder="1" applyAlignment="1">
      <alignment horizontal="justify" vertical="justify"/>
    </xf>
    <xf numFmtId="0" fontId="3" fillId="0" borderId="0" xfId="0" applyFont="1" applyBorder="1" applyAlignment="1">
      <alignment horizontal="center" vertical="justify"/>
    </xf>
    <xf numFmtId="0" fontId="3" fillId="0" borderId="0" xfId="0" applyFont="1" applyAlignment="1">
      <alignment horizontal="center" vertical="justify"/>
    </xf>
    <xf numFmtId="0" fontId="0" fillId="0" borderId="1" xfId="0" applyFont="1" applyFill="1" applyBorder="1" applyAlignment="1">
      <alignment horizontal="center" vertical="center"/>
    </xf>
    <xf numFmtId="0" fontId="0" fillId="0" borderId="1" xfId="0" applyFont="1" applyFill="1" applyBorder="1" applyAlignment="1">
      <alignment horizontal="justify" vertical="center"/>
    </xf>
    <xf numFmtId="3" fontId="0" fillId="0" borderId="1" xfId="0" applyNumberFormat="1" applyFont="1" applyFill="1" applyBorder="1" applyAlignment="1">
      <alignment horizontal="right" vertical="center"/>
    </xf>
    <xf numFmtId="3" fontId="0" fillId="2" borderId="1" xfId="0" applyNumberFormat="1" applyFont="1" applyFill="1" applyBorder="1" applyAlignment="1">
      <alignment horizontal="right" vertical="center"/>
    </xf>
    <xf numFmtId="0" fontId="0" fillId="6" borderId="1" xfId="0" applyFill="1" applyBorder="1" applyAlignment="1">
      <alignment horizontal="center" vertical="center"/>
    </xf>
    <xf numFmtId="0" fontId="0" fillId="0" borderId="0" xfId="0" applyFill="1"/>
    <xf numFmtId="0" fontId="0" fillId="2" borderId="1" xfId="0" applyFill="1" applyBorder="1" applyAlignment="1">
      <alignment horizontal="center" vertical="center"/>
    </xf>
    <xf numFmtId="3" fontId="0" fillId="0" borderId="0" xfId="0" applyNumberFormat="1" applyFill="1"/>
    <xf numFmtId="0" fontId="2" fillId="2" borderId="1" xfId="0" applyFont="1" applyFill="1" applyBorder="1" applyAlignment="1">
      <alignment horizontal="center"/>
    </xf>
    <xf numFmtId="0" fontId="2" fillId="2" borderId="1" xfId="0" applyFont="1" applyFill="1" applyBorder="1"/>
    <xf numFmtId="0" fontId="9" fillId="2" borderId="1" xfId="0" applyFont="1" applyFill="1" applyBorder="1" applyAlignment="1">
      <alignment vertical="center"/>
    </xf>
    <xf numFmtId="3" fontId="9" fillId="2" borderId="1" xfId="0" applyNumberFormat="1" applyFont="1" applyFill="1" applyBorder="1" applyAlignment="1">
      <alignment vertical="center"/>
    </xf>
    <xf numFmtId="2" fontId="0" fillId="2" borderId="1" xfId="0" applyNumberFormat="1" applyFill="1" applyBorder="1" applyAlignment="1">
      <alignment horizontal="center" vertical="center"/>
    </xf>
    <xf numFmtId="0" fontId="0" fillId="2" borderId="0" xfId="0" applyFill="1"/>
    <xf numFmtId="0" fontId="9" fillId="2" borderId="1" xfId="0" applyFont="1" applyFill="1" applyBorder="1" applyAlignment="1">
      <alignment horizontal="center"/>
    </xf>
    <xf numFmtId="0" fontId="9" fillId="2" borderId="1" xfId="0" applyFont="1" applyFill="1" applyBorder="1"/>
    <xf numFmtId="2" fontId="9" fillId="2" borderId="1" xfId="0" applyNumberFormat="1" applyFont="1" applyFill="1" applyBorder="1" applyAlignment="1">
      <alignment horizontal="center"/>
    </xf>
    <xf numFmtId="0" fontId="0" fillId="2" borderId="0" xfId="0" applyFill="1" applyAlignment="1">
      <alignment horizontal="center"/>
    </xf>
    <xf numFmtId="0" fontId="0" fillId="2" borderId="0" xfId="0" applyFill="1" applyAlignment="1">
      <alignment horizontal="center" vertical="center"/>
    </xf>
    <xf numFmtId="0" fontId="3" fillId="0" borderId="1" xfId="0" applyFont="1" applyFill="1" applyBorder="1" applyAlignment="1">
      <alignment horizontal="center" vertical="center" wrapText="1"/>
    </xf>
    <xf numFmtId="164" fontId="17" fillId="0" borderId="1" xfId="3" applyFont="1" applyBorder="1" applyAlignment="1">
      <alignment horizontal="justify" vertical="center"/>
    </xf>
    <xf numFmtId="164" fontId="18" fillId="0" borderId="1" xfId="3" applyFont="1" applyBorder="1" applyAlignment="1">
      <alignment horizontal="justify" vertical="center"/>
    </xf>
    <xf numFmtId="166" fontId="0" fillId="5" borderId="1" xfId="0" applyNumberFormat="1" applyFill="1" applyBorder="1" applyAlignment="1">
      <alignment horizontal="center" vertical="center"/>
    </xf>
    <xf numFmtId="164" fontId="17" fillId="0" borderId="2" xfId="3" applyFont="1" applyBorder="1" applyAlignment="1">
      <alignment horizontal="justify" vertical="center"/>
    </xf>
    <xf numFmtId="164" fontId="18" fillId="0" borderId="2" xfId="3" applyFont="1" applyBorder="1" applyAlignment="1">
      <alignment horizontal="justify" vertical="center"/>
    </xf>
    <xf numFmtId="166" fontId="0" fillId="3" borderId="1" xfId="0" applyNumberFormat="1" applyFill="1" applyBorder="1" applyAlignment="1">
      <alignment horizontal="center" vertical="center"/>
    </xf>
    <xf numFmtId="0" fontId="7" fillId="0" borderId="2" xfId="0" applyFont="1" applyFill="1" applyBorder="1" applyAlignment="1">
      <alignment horizontal="left" vertical="center" wrapText="1"/>
    </xf>
    <xf numFmtId="1" fontId="7" fillId="0" borderId="4"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0" fontId="8" fillId="2" borderId="1" xfId="0" applyNumberFormat="1" applyFont="1" applyFill="1" applyBorder="1" applyAlignment="1">
      <alignment horizontal="center" vertical="center" wrapText="1"/>
    </xf>
    <xf numFmtId="0" fontId="7" fillId="2" borderId="4" xfId="0" applyFont="1" applyFill="1" applyBorder="1" applyAlignment="1">
      <alignment vertical="center" wrapText="1"/>
    </xf>
    <xf numFmtId="0" fontId="8" fillId="0" borderId="1"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0" fontId="2" fillId="0" borderId="0" xfId="0" applyFont="1" applyAlignment="1">
      <alignment vertical="center"/>
    </xf>
    <xf numFmtId="0" fontId="7" fillId="0" borderId="0" xfId="0" applyFont="1" applyBorder="1" applyAlignment="1">
      <alignment horizontal="center"/>
    </xf>
    <xf numFmtId="0" fontId="7" fillId="0" borderId="6"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2" borderId="1" xfId="0" applyFont="1" applyFill="1" applyBorder="1" applyAlignment="1">
      <alignment vertical="center" wrapText="1"/>
    </xf>
    <xf numFmtId="167" fontId="8" fillId="0" borderId="1" xfId="0" applyNumberFormat="1" applyFont="1" applyFill="1" applyBorder="1" applyAlignment="1">
      <alignment vertical="center"/>
    </xf>
    <xf numFmtId="43" fontId="11" fillId="0" borderId="2" xfId="1" applyFont="1" applyBorder="1" applyAlignment="1">
      <alignment horizontal="justify" vertical="center"/>
    </xf>
    <xf numFmtId="43" fontId="12" fillId="0" borderId="2" xfId="1" applyFont="1" applyBorder="1" applyAlignment="1">
      <alignment horizontal="justify" vertical="center"/>
    </xf>
    <xf numFmtId="43" fontId="12" fillId="0" borderId="1" xfId="1" applyFont="1" applyBorder="1" applyAlignment="1">
      <alignment horizontal="justify" vertical="center"/>
    </xf>
    <xf numFmtId="1" fontId="8" fillId="0" borderId="1" xfId="0" applyNumberFormat="1" applyFont="1" applyFill="1" applyBorder="1" applyAlignment="1">
      <alignment horizontal="center" vertical="center"/>
    </xf>
    <xf numFmtId="0" fontId="7" fillId="0" borderId="6"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2" fillId="0" borderId="0" xfId="0" applyFont="1" applyAlignment="1">
      <alignment horizontal="center"/>
    </xf>
    <xf numFmtId="0" fontId="7" fillId="0" borderId="8" xfId="0" applyFont="1" applyFill="1" applyBorder="1" applyAlignment="1">
      <alignment horizontal="center" vertical="center" wrapText="1"/>
    </xf>
    <xf numFmtId="0" fontId="7" fillId="0" borderId="4" xfId="0" applyNumberFormat="1" applyFont="1" applyFill="1" applyBorder="1" applyAlignment="1">
      <alignment horizontal="center" vertical="center" wrapText="1"/>
    </xf>
    <xf numFmtId="43" fontId="11" fillId="0" borderId="3" xfId="1" applyFont="1" applyBorder="1" applyAlignment="1">
      <alignment horizontal="justify" vertical="center"/>
    </xf>
    <xf numFmtId="43" fontId="12" fillId="0" borderId="3" xfId="1" applyFont="1" applyBorder="1" applyAlignment="1">
      <alignment horizontal="justify" vertical="center"/>
    </xf>
    <xf numFmtId="43" fontId="12" fillId="0" borderId="4" xfId="1" applyFont="1" applyBorder="1" applyAlignment="1">
      <alignment horizontal="justify" vertical="center"/>
    </xf>
    <xf numFmtId="0" fontId="0" fillId="0" borderId="1" xfId="0" applyBorder="1" applyAlignment="1">
      <alignment vertical="center"/>
    </xf>
    <xf numFmtId="0" fontId="9" fillId="0" borderId="6" xfId="0" applyFont="1" applyBorder="1" applyAlignment="1">
      <alignment horizontal="center" vertical="center"/>
    </xf>
    <xf numFmtId="43" fontId="9" fillId="0" borderId="1" xfId="0" applyNumberFormat="1" applyFont="1" applyBorder="1" applyAlignment="1">
      <alignment vertical="center"/>
    </xf>
    <xf numFmtId="2" fontId="0" fillId="0" borderId="1" xfId="0" applyNumberFormat="1" applyBorder="1" applyAlignment="1">
      <alignment horizontal="center"/>
    </xf>
    <xf numFmtId="0" fontId="7" fillId="0" borderId="4" xfId="0" applyFont="1" applyFill="1" applyBorder="1" applyAlignment="1">
      <alignment vertical="center" wrapText="1"/>
    </xf>
    <xf numFmtId="0" fontId="7" fillId="0" borderId="4" xfId="0" applyFont="1" applyFill="1" applyBorder="1" applyAlignment="1">
      <alignment horizontal="center" vertical="center" wrapText="1"/>
    </xf>
    <xf numFmtId="0" fontId="7" fillId="2" borderId="1" xfId="0" applyFont="1" applyFill="1" applyBorder="1" applyAlignment="1">
      <alignment horizontal="center" vertical="center"/>
    </xf>
    <xf numFmtId="4" fontId="8" fillId="2" borderId="1" xfId="0" applyNumberFormat="1" applyFont="1" applyFill="1" applyBorder="1" applyAlignment="1">
      <alignment horizontal="center" vertical="center" wrapText="1"/>
    </xf>
    <xf numFmtId="0" fontId="16" fillId="2" borderId="1" xfId="0" applyFont="1" applyFill="1" applyBorder="1" applyAlignment="1">
      <alignment horizontal="justify" vertical="center" wrapText="1"/>
    </xf>
    <xf numFmtId="0" fontId="2" fillId="2" borderId="0" xfId="0" applyFont="1" applyFill="1"/>
    <xf numFmtId="0" fontId="0" fillId="0" borderId="4" xfId="0" applyBorder="1" applyAlignment="1">
      <alignment horizontal="center" vertical="center"/>
    </xf>
    <xf numFmtId="0" fontId="7" fillId="0" borderId="4" xfId="0" applyFont="1" applyBorder="1" applyAlignment="1">
      <alignment horizontal="justify" vertical="center" wrapText="1"/>
    </xf>
    <xf numFmtId="0" fontId="7" fillId="2" borderId="4" xfId="0" applyNumberFormat="1" applyFont="1" applyFill="1" applyBorder="1" applyAlignment="1">
      <alignment horizontal="center" vertical="center"/>
    </xf>
    <xf numFmtId="0" fontId="10" fillId="0" borderId="0" xfId="0" applyFont="1" applyBorder="1" applyAlignment="1">
      <alignment horizontal="center" vertical="center"/>
    </xf>
    <xf numFmtId="0" fontId="0" fillId="5" borderId="1" xfId="0" applyFill="1" applyBorder="1" applyAlignment="1">
      <alignment horizontal="center" vertical="center"/>
    </xf>
    <xf numFmtId="0" fontId="6" fillId="0" borderId="0" xfId="0" applyFont="1" applyAlignment="1">
      <alignment horizontal="center"/>
    </xf>
    <xf numFmtId="0" fontId="7"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justify" vertical="center" wrapText="1"/>
    </xf>
    <xf numFmtId="0" fontId="7" fillId="0" borderId="2" xfId="0" applyFont="1" applyFill="1" applyBorder="1" applyAlignment="1">
      <alignment horizontal="justify"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justify" vertical="center" wrapText="1"/>
    </xf>
    <xf numFmtId="0" fontId="7" fillId="2" borderId="1" xfId="0" applyFont="1" applyFill="1" applyBorder="1" applyAlignment="1">
      <alignment horizontal="justify" vertical="center" wrapText="1"/>
    </xf>
    <xf numFmtId="0" fontId="7" fillId="2" borderId="4" xfId="0" applyFont="1" applyFill="1" applyBorder="1" applyAlignment="1">
      <alignment horizontal="justify" vertical="center" wrapText="1"/>
    </xf>
    <xf numFmtId="0" fontId="7" fillId="2" borderId="3" xfId="0" applyFont="1" applyFill="1" applyBorder="1" applyAlignment="1">
      <alignment horizontal="justify" vertical="center" wrapText="1"/>
    </xf>
    <xf numFmtId="0" fontId="7" fillId="2" borderId="2" xfId="0" applyFont="1" applyFill="1" applyBorder="1" applyAlignment="1">
      <alignment horizontal="justify" vertical="center" wrapText="1"/>
    </xf>
    <xf numFmtId="0" fontId="9" fillId="0" borderId="0" xfId="0" applyFont="1" applyAlignment="1">
      <alignment horizontal="center" vertical="center"/>
    </xf>
    <xf numFmtId="0" fontId="0" fillId="0" borderId="0" xfId="0" applyAlignment="1">
      <alignment horizontal="center" vertical="center"/>
    </xf>
    <xf numFmtId="1" fontId="7" fillId="0" borderId="4" xfId="0" applyNumberFormat="1" applyFont="1" applyFill="1" applyBorder="1" applyAlignment="1">
      <alignment horizontal="center" vertical="center" wrapText="1"/>
    </xf>
    <xf numFmtId="1" fontId="7" fillId="0" borderId="3" xfId="0" applyNumberFormat="1" applyFont="1" applyFill="1" applyBorder="1" applyAlignment="1">
      <alignment horizontal="center" vertical="center" wrapText="1"/>
    </xf>
    <xf numFmtId="1" fontId="7" fillId="0" borderId="2"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9" fillId="0" borderId="5" xfId="0" applyFont="1" applyBorder="1" applyAlignment="1">
      <alignment horizontal="center" vertical="center" wrapText="1"/>
    </xf>
    <xf numFmtId="1" fontId="7" fillId="0" borderId="1" xfId="0" applyNumberFormat="1" applyFont="1" applyFill="1" applyBorder="1" applyAlignment="1">
      <alignment horizontal="center" vertical="center" wrapText="1"/>
    </xf>
    <xf numFmtId="165" fontId="7" fillId="0" borderId="1" xfId="4" applyNumberFormat="1" applyFont="1" applyFill="1" applyBorder="1" applyAlignment="1">
      <alignment horizontal="justify" vertical="center" wrapText="1"/>
    </xf>
    <xf numFmtId="3" fontId="7" fillId="0" borderId="4" xfId="0" applyNumberFormat="1" applyFont="1" applyFill="1" applyBorder="1" applyAlignment="1">
      <alignment horizontal="left" vertical="center" wrapText="1"/>
    </xf>
    <xf numFmtId="3" fontId="7" fillId="0" borderId="3" xfId="0" applyNumberFormat="1" applyFont="1" applyFill="1" applyBorder="1" applyAlignment="1">
      <alignment horizontal="left" vertical="center" wrapText="1"/>
    </xf>
    <xf numFmtId="3" fontId="7" fillId="0" borderId="2" xfId="0" applyNumberFormat="1" applyFont="1" applyFill="1" applyBorder="1" applyAlignment="1">
      <alignment horizontal="left" vertical="center" wrapText="1"/>
    </xf>
    <xf numFmtId="3" fontId="7" fillId="0" borderId="4" xfId="5" applyNumberFormat="1" applyFont="1" applyFill="1" applyBorder="1" applyAlignment="1">
      <alignment horizontal="center" vertical="center" wrapText="1"/>
    </xf>
    <xf numFmtId="3" fontId="7" fillId="0" borderId="2" xfId="5" applyNumberFormat="1" applyFont="1" applyFill="1" applyBorder="1" applyAlignment="1">
      <alignment horizontal="center" vertical="center" wrapText="1"/>
    </xf>
  </cellXfs>
  <cellStyles count="6">
    <cellStyle name="Millares" xfId="1" builtinId="3"/>
    <cellStyle name="Millares 2" xfId="3"/>
    <cellStyle name="Millares 2 2" xfId="4"/>
    <cellStyle name="Normal" xfId="0" builtinId="0"/>
    <cellStyle name="Porcentaje" xfId="2" builtinId="5"/>
    <cellStyle name="Porcentaj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FF0000"/>
                </a:solidFill>
                <a:latin typeface="+mn-lt"/>
                <a:ea typeface="+mn-ea"/>
                <a:cs typeface="+mn-cs"/>
              </a:defRPr>
            </a:pPr>
            <a:r>
              <a:rPr lang="es-CO">
                <a:solidFill>
                  <a:srgbClr val="FF0000"/>
                </a:solidFill>
              </a:rPr>
              <a:t>ESTADO</a:t>
            </a:r>
            <a:r>
              <a:rPr lang="es-CO" baseline="0">
                <a:solidFill>
                  <a:srgbClr val="FF0000"/>
                </a:solidFill>
              </a:rPr>
              <a:t> DE EJECUCION METAS PRODUCTO SECRETARÍA DE REPRESENTACION JUDICIAL  CON CORTE AL 30 DE SEPTIEMBRE DE 2016</a:t>
            </a:r>
          </a:p>
          <a:p>
            <a:pPr>
              <a:defRPr>
                <a:solidFill>
                  <a:srgbClr val="FF0000"/>
                </a:solidFill>
              </a:defRPr>
            </a:pPr>
            <a:endParaRPr lang="es-CO">
              <a:solidFill>
                <a:srgbClr val="FF0000"/>
              </a:solidFill>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rgbClr val="FF0000"/>
              </a:solidFill>
              <a:latin typeface="+mn-lt"/>
              <a:ea typeface="+mn-ea"/>
              <a:cs typeface="+mn-cs"/>
            </a:defRPr>
          </a:pPr>
          <a:endParaRPr lang="es-CO"/>
        </a:p>
      </c:txPr>
    </c:title>
    <c:autoTitleDeleted val="0"/>
    <c:plotArea>
      <c:layout/>
      <c:barChart>
        <c:barDir val="col"/>
        <c:grouping val="clustered"/>
        <c:varyColors val="0"/>
        <c:ser>
          <c:idx val="0"/>
          <c:order val="0"/>
          <c:tx>
            <c:strRef>
              <c:f>'Representación Judicial'!$E$11</c:f>
              <c:strCache>
                <c:ptCount val="1"/>
                <c:pt idx="0">
                  <c:v>NÚMERO DE METAS  PRODUCTO </c:v>
                </c:pt>
              </c:strCache>
            </c:strRef>
          </c:tx>
          <c:spPr>
            <a:solidFill>
              <a:schemeClr val="accent1"/>
            </a:solidFill>
            <a:ln>
              <a:noFill/>
            </a:ln>
            <a:effectLst/>
          </c:spPr>
          <c:invertIfNegative val="0"/>
          <c:cat>
            <c:strRef>
              <c:f>'Representación Judicial'!$D$12:$D$15</c:f>
              <c:strCache>
                <c:ptCount val="4"/>
                <c:pt idx="0">
                  <c:v>S. VERDE ( 80%-100%) </c:v>
                </c:pt>
                <c:pt idx="1">
                  <c:v>S. AMARILLO (49%-79%)</c:v>
                </c:pt>
                <c:pt idx="2">
                  <c:v>S. ROJO ( 0-49%)</c:v>
                </c:pt>
                <c:pt idx="3">
                  <c:v>TOTAL </c:v>
                </c:pt>
              </c:strCache>
            </c:strRef>
          </c:cat>
          <c:val>
            <c:numRef>
              <c:f>'Representación Judicial'!$E$12:$E$15</c:f>
              <c:numCache>
                <c:formatCode>General</c:formatCode>
                <c:ptCount val="4"/>
                <c:pt idx="0">
                  <c:v>0</c:v>
                </c:pt>
                <c:pt idx="1">
                  <c:v>1</c:v>
                </c:pt>
                <c:pt idx="2">
                  <c:v>0</c:v>
                </c:pt>
                <c:pt idx="3">
                  <c:v>1</c:v>
                </c:pt>
              </c:numCache>
            </c:numRef>
          </c:val>
          <c:extLst xmlns:c16r2="http://schemas.microsoft.com/office/drawing/2015/06/chart">
            <c:ext xmlns:c16="http://schemas.microsoft.com/office/drawing/2014/chart" uri="{C3380CC4-5D6E-409C-BE32-E72D297353CC}">
              <c16:uniqueId val="{00000000-289A-49BF-87F2-1AE7EAA4B8BA}"/>
            </c:ext>
          </c:extLst>
        </c:ser>
        <c:ser>
          <c:idx val="1"/>
          <c:order val="1"/>
          <c:tx>
            <c:strRef>
              <c:f>'Representación Judicial'!$F$11</c:f>
              <c:strCache>
                <c:ptCount val="1"/>
                <c:pt idx="0">
                  <c:v>%</c:v>
                </c:pt>
              </c:strCache>
            </c:strRef>
          </c:tx>
          <c:spPr>
            <a:solidFill>
              <a:schemeClr val="accent2"/>
            </a:solidFill>
            <a:ln>
              <a:noFill/>
            </a:ln>
            <a:effectLst/>
          </c:spPr>
          <c:invertIfNegative val="0"/>
          <c:cat>
            <c:strRef>
              <c:f>'Representación Judicial'!$D$12:$D$15</c:f>
              <c:strCache>
                <c:ptCount val="4"/>
                <c:pt idx="0">
                  <c:v>S. VERDE ( 80%-100%) </c:v>
                </c:pt>
                <c:pt idx="1">
                  <c:v>S. AMARILLO (49%-79%)</c:v>
                </c:pt>
                <c:pt idx="2">
                  <c:v>S. ROJO ( 0-49%)</c:v>
                </c:pt>
                <c:pt idx="3">
                  <c:v>TOTAL </c:v>
                </c:pt>
              </c:strCache>
            </c:strRef>
          </c:cat>
          <c:val>
            <c:numRef>
              <c:f>'Representación Judicial'!$F$12:$F$15</c:f>
              <c:numCache>
                <c:formatCode>General</c:formatCode>
                <c:ptCount val="4"/>
                <c:pt idx="0">
                  <c:v>0</c:v>
                </c:pt>
                <c:pt idx="1">
                  <c:v>100</c:v>
                </c:pt>
                <c:pt idx="2">
                  <c:v>0</c:v>
                </c:pt>
                <c:pt idx="3">
                  <c:v>100</c:v>
                </c:pt>
              </c:numCache>
            </c:numRef>
          </c:val>
          <c:extLst xmlns:c16r2="http://schemas.microsoft.com/office/drawing/2015/06/chart">
            <c:ext xmlns:c16="http://schemas.microsoft.com/office/drawing/2014/chart" uri="{C3380CC4-5D6E-409C-BE32-E72D297353CC}">
              <c16:uniqueId val="{00000001-289A-49BF-87F2-1AE7EAA4B8BA}"/>
            </c:ext>
          </c:extLst>
        </c:ser>
        <c:dLbls>
          <c:showLegendKey val="0"/>
          <c:showVal val="0"/>
          <c:showCatName val="0"/>
          <c:showSerName val="0"/>
          <c:showPercent val="0"/>
          <c:showBubbleSize val="0"/>
        </c:dLbls>
        <c:gapWidth val="219"/>
        <c:overlap val="-27"/>
        <c:axId val="103202064"/>
        <c:axId val="103202624"/>
      </c:barChart>
      <c:catAx>
        <c:axId val="103202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3202624"/>
        <c:crosses val="autoZero"/>
        <c:auto val="1"/>
        <c:lblAlgn val="ctr"/>
        <c:lblOffset val="100"/>
        <c:noMultiLvlLbl val="0"/>
      </c:catAx>
      <c:valAx>
        <c:axId val="1032026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FF0000"/>
                    </a:solidFill>
                    <a:latin typeface="+mn-lt"/>
                    <a:ea typeface="+mn-ea"/>
                    <a:cs typeface="+mn-cs"/>
                  </a:defRPr>
                </a:pPr>
                <a:r>
                  <a:rPr lang="en-US">
                    <a:solidFill>
                      <a:srgbClr val="FF0000"/>
                    </a:solidFill>
                  </a:rPr>
                  <a:t>PORCENTAJE</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rgbClr val="FF0000"/>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320206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FF0000"/>
                </a:solidFill>
                <a:latin typeface="+mn-lt"/>
                <a:ea typeface="+mn-ea"/>
                <a:cs typeface="+mn-cs"/>
              </a:defRPr>
            </a:pPr>
            <a:r>
              <a:rPr lang="en-US" b="1">
                <a:solidFill>
                  <a:srgbClr val="FF0000"/>
                </a:solidFill>
              </a:rPr>
              <a:t>ESTADO DE EJECUCION METAS PRODUCTO SECRETARIA DE EDUCACION CON CORTE A OCTUBRE DE 2016</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FF0000"/>
              </a:solidFill>
              <a:latin typeface="+mn-lt"/>
              <a:ea typeface="+mn-ea"/>
              <a:cs typeface="+mn-cs"/>
            </a:defRPr>
          </a:pPr>
          <a:endParaRPr lang="es-CO"/>
        </a:p>
      </c:txPr>
    </c:title>
    <c:autoTitleDeleted val="0"/>
    <c:plotArea>
      <c:layout/>
      <c:barChart>
        <c:barDir val="col"/>
        <c:grouping val="clustered"/>
        <c:varyColors val="0"/>
        <c:ser>
          <c:idx val="0"/>
          <c:order val="0"/>
          <c:tx>
            <c:strRef>
              <c:f>'[1]METAS PRODUCTO '!$I$64</c:f>
              <c:strCache>
                <c:ptCount val="1"/>
                <c:pt idx="0">
                  <c:v>NÚMERO DE METAS  PRODUCTO </c:v>
                </c:pt>
              </c:strCache>
            </c:strRef>
          </c:tx>
          <c:spPr>
            <a:solidFill>
              <a:schemeClr val="accent1"/>
            </a:solidFill>
            <a:ln>
              <a:noFill/>
            </a:ln>
            <a:effectLst/>
          </c:spPr>
          <c:invertIfNegative val="0"/>
          <c:val>
            <c:numRef>
              <c:f>'[1]METAS PRODUCTO '!$I$65:$I$68</c:f>
              <c:numCache>
                <c:formatCode>General</c:formatCode>
                <c:ptCount val="4"/>
                <c:pt idx="0">
                  <c:v>19</c:v>
                </c:pt>
                <c:pt idx="1">
                  <c:v>4</c:v>
                </c:pt>
                <c:pt idx="2">
                  <c:v>30</c:v>
                </c:pt>
                <c:pt idx="3">
                  <c:v>53</c:v>
                </c:pt>
              </c:numCache>
            </c:numRef>
          </c:val>
          <c:extLst xmlns:c16r2="http://schemas.microsoft.com/office/drawing/2015/06/chart">
            <c:ext xmlns:c16="http://schemas.microsoft.com/office/drawing/2014/chart" uri="{C3380CC4-5D6E-409C-BE32-E72D297353CC}">
              <c16:uniqueId val="{00000000-229D-4E2F-9D61-0716E8E39D9A}"/>
            </c:ext>
            <c:ext xmlns:c15="http://schemas.microsoft.com/office/drawing/2012/chart" uri="{02D57815-91ED-43cb-92C2-25804820EDAC}">
              <c15:filteredCategoryTitle>
                <c15:cat>
                  <c:strRef>
                    <c:extLst xmlns:c16="http://schemas.microsoft.com/office/drawing/2014/chart" xmlns:c16r2="http://schemas.microsoft.com/office/drawing/2015/06/chart">
                      <c:ext uri="{02D57815-91ED-43cb-92C2-25804820EDAC}">
                        <c15:formulaRef>
                          <c15:sqref>'[1]METAS PRODUCTO '!$H$65:$H$68</c15:sqref>
                        </c15:formulaRef>
                      </c:ext>
                    </c:extLst>
                    <c:strCache>
                      <c:ptCount val="4"/>
                      <c:pt idx="0">
                        <c:v>S. VERDE ( 80%-100%) </c:v>
                      </c:pt>
                      <c:pt idx="1">
                        <c:v>S. AMARILLO (49%-79%)</c:v>
                      </c:pt>
                      <c:pt idx="2">
                        <c:v>S. ROJO ( 0-49%)</c:v>
                      </c:pt>
                      <c:pt idx="3">
                        <c:v>TOTAL </c:v>
                      </c:pt>
                    </c:strCache>
                  </c:strRef>
                </c15:cat>
              </c15:filteredCategoryTitle>
            </c:ext>
          </c:extLst>
        </c:ser>
        <c:ser>
          <c:idx val="1"/>
          <c:order val="1"/>
          <c:tx>
            <c:strRef>
              <c:f>Educación!$J$64</c:f>
              <c:strCache>
                <c:ptCount val="1"/>
                <c:pt idx="0">
                  <c:v>%</c:v>
                </c:pt>
              </c:strCache>
            </c:strRef>
          </c:tx>
          <c:spPr>
            <a:solidFill>
              <a:schemeClr val="accent2"/>
            </a:solidFill>
            <a:ln>
              <a:noFill/>
            </a:ln>
            <a:effectLst/>
          </c:spPr>
          <c:invertIfNegative val="0"/>
          <c:val>
            <c:numRef>
              <c:f>Educación!$J$65:$J$68</c:f>
              <c:numCache>
                <c:formatCode>0.00</c:formatCode>
                <c:ptCount val="4"/>
                <c:pt idx="0">
                  <c:v>20.87912087912088</c:v>
                </c:pt>
                <c:pt idx="1">
                  <c:v>4.395604395604396</c:v>
                </c:pt>
                <c:pt idx="2">
                  <c:v>32.967032967032964</c:v>
                </c:pt>
                <c:pt idx="3">
                  <c:v>58.241758241758248</c:v>
                </c:pt>
              </c:numCache>
            </c:numRef>
          </c:val>
          <c:extLst xmlns:c16r2="http://schemas.microsoft.com/office/drawing/2015/06/chart">
            <c:ext xmlns:c16="http://schemas.microsoft.com/office/drawing/2014/chart" uri="{C3380CC4-5D6E-409C-BE32-E72D297353CC}">
              <c16:uniqueId val="{00000001-229D-4E2F-9D61-0716E8E39D9A}"/>
            </c:ext>
            <c:ext xmlns:c15="http://schemas.microsoft.com/office/drawing/2012/chart" uri="{02D57815-91ED-43cb-92C2-25804820EDAC}">
              <c15:filteredCategoryTitle>
                <c15:cat>
                  <c:strRef>
                    <c:extLst xmlns:c16="http://schemas.microsoft.com/office/drawing/2014/chart" xmlns:c16r2="http://schemas.microsoft.com/office/drawing/2015/06/chart">
                      <c:ext uri="{02D57815-91ED-43cb-92C2-25804820EDAC}">
                        <c15:formulaRef>
                          <c15:sqref>'[1]METAS PRODUCTO '!$H$65:$H$68</c15:sqref>
                        </c15:formulaRef>
                      </c:ext>
                    </c:extLst>
                    <c:strCache>
                      <c:ptCount val="4"/>
                      <c:pt idx="0">
                        <c:v>S. VERDE ( 80%-100%) </c:v>
                      </c:pt>
                      <c:pt idx="1">
                        <c:v>S. AMARILLO (49%-79%)</c:v>
                      </c:pt>
                      <c:pt idx="2">
                        <c:v>S. ROJO ( 0-49%)</c:v>
                      </c:pt>
                      <c:pt idx="3">
                        <c:v>TOTAL </c:v>
                      </c:pt>
                    </c:strCache>
                  </c:strRef>
                </c15:cat>
              </c15:filteredCategoryTitle>
            </c:ext>
          </c:extLst>
        </c:ser>
        <c:dLbls>
          <c:showLegendKey val="0"/>
          <c:showVal val="0"/>
          <c:showCatName val="0"/>
          <c:showSerName val="0"/>
          <c:showPercent val="0"/>
          <c:showBubbleSize val="0"/>
        </c:dLbls>
        <c:gapWidth val="219"/>
        <c:overlap val="-27"/>
        <c:axId val="170339280"/>
        <c:axId val="170339840"/>
      </c:barChart>
      <c:catAx>
        <c:axId val="170339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339840"/>
        <c:crosses val="autoZero"/>
        <c:auto val="1"/>
        <c:lblAlgn val="ctr"/>
        <c:lblOffset val="100"/>
        <c:noMultiLvlLbl val="0"/>
      </c:catAx>
      <c:valAx>
        <c:axId val="17033984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PORCENTAJE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33928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FF0000"/>
                </a:solidFill>
                <a:latin typeface="+mn-lt"/>
                <a:ea typeface="+mn-ea"/>
                <a:cs typeface="+mn-cs"/>
              </a:defRPr>
            </a:pPr>
            <a:r>
              <a:rPr lang="en-US">
                <a:solidFill>
                  <a:srgbClr val="FF0000"/>
                </a:solidFill>
              </a:rPr>
              <a:t>ESTADO DE EJECUCIÓN METAS PRODUCTO SECRETARIA DEL INTERIOR CON CORTE A OCTUBRE 31 DE 2016</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FF0000"/>
              </a:solidFill>
              <a:latin typeface="+mn-lt"/>
              <a:ea typeface="+mn-ea"/>
              <a:cs typeface="+mn-cs"/>
            </a:defRPr>
          </a:pPr>
          <a:endParaRPr lang="es-CO"/>
        </a:p>
      </c:txPr>
    </c:title>
    <c:autoTitleDeleted val="0"/>
    <c:plotArea>
      <c:layout/>
      <c:barChart>
        <c:barDir val="col"/>
        <c:grouping val="clustered"/>
        <c:varyColors val="0"/>
        <c:ser>
          <c:idx val="0"/>
          <c:order val="0"/>
          <c:tx>
            <c:strRef>
              <c:f>Interior!$E$44</c:f>
              <c:strCache>
                <c:ptCount val="1"/>
                <c:pt idx="0">
                  <c:v>NÚMERO DE METAS  PRODUCTO </c:v>
                </c:pt>
              </c:strCache>
            </c:strRef>
          </c:tx>
          <c:spPr>
            <a:solidFill>
              <a:schemeClr val="accent1"/>
            </a:solidFill>
            <a:ln>
              <a:noFill/>
            </a:ln>
            <a:effectLst/>
          </c:spPr>
          <c:invertIfNegative val="0"/>
          <c:cat>
            <c:strRef>
              <c:f>Interior!$D$45:$D$48</c:f>
              <c:strCache>
                <c:ptCount val="4"/>
                <c:pt idx="0">
                  <c:v>S. VERDE ( 80%-100%) </c:v>
                </c:pt>
                <c:pt idx="1">
                  <c:v>S. AMARILLO (49%-79%)</c:v>
                </c:pt>
                <c:pt idx="2">
                  <c:v>S. ROJO ( 0-49%)</c:v>
                </c:pt>
                <c:pt idx="3">
                  <c:v>TOTAL </c:v>
                </c:pt>
              </c:strCache>
            </c:strRef>
          </c:cat>
          <c:val>
            <c:numRef>
              <c:f>Interior!$E$45:$E$48</c:f>
              <c:numCache>
                <c:formatCode>General</c:formatCode>
                <c:ptCount val="4"/>
                <c:pt idx="0">
                  <c:v>0</c:v>
                </c:pt>
                <c:pt idx="1">
                  <c:v>0</c:v>
                </c:pt>
                <c:pt idx="2">
                  <c:v>15</c:v>
                </c:pt>
                <c:pt idx="3">
                  <c:v>15</c:v>
                </c:pt>
              </c:numCache>
            </c:numRef>
          </c:val>
          <c:extLst xmlns:c16r2="http://schemas.microsoft.com/office/drawing/2015/06/chart">
            <c:ext xmlns:c16="http://schemas.microsoft.com/office/drawing/2014/chart" uri="{C3380CC4-5D6E-409C-BE32-E72D297353CC}">
              <c16:uniqueId val="{00000000-1A4F-48F3-8A38-E01C8DA57DB2}"/>
            </c:ext>
          </c:extLst>
        </c:ser>
        <c:ser>
          <c:idx val="1"/>
          <c:order val="1"/>
          <c:tx>
            <c:strRef>
              <c:f>Interior!$F$44</c:f>
              <c:strCache>
                <c:ptCount val="1"/>
                <c:pt idx="0">
                  <c:v>%</c:v>
                </c:pt>
              </c:strCache>
            </c:strRef>
          </c:tx>
          <c:spPr>
            <a:solidFill>
              <a:schemeClr val="accent2"/>
            </a:solidFill>
            <a:ln>
              <a:noFill/>
            </a:ln>
            <a:effectLst/>
          </c:spPr>
          <c:invertIfNegative val="0"/>
          <c:cat>
            <c:strRef>
              <c:f>Interior!$D$45:$D$48</c:f>
              <c:strCache>
                <c:ptCount val="4"/>
                <c:pt idx="0">
                  <c:v>S. VERDE ( 80%-100%) </c:v>
                </c:pt>
                <c:pt idx="1">
                  <c:v>S. AMARILLO (49%-79%)</c:v>
                </c:pt>
                <c:pt idx="2">
                  <c:v>S. ROJO ( 0-49%)</c:v>
                </c:pt>
                <c:pt idx="3">
                  <c:v>TOTAL </c:v>
                </c:pt>
              </c:strCache>
            </c:strRef>
          </c:cat>
          <c:val>
            <c:numRef>
              <c:f>Interior!$F$45:$F$48</c:f>
              <c:numCache>
                <c:formatCode>General</c:formatCode>
                <c:ptCount val="4"/>
                <c:pt idx="0">
                  <c:v>0</c:v>
                </c:pt>
                <c:pt idx="1">
                  <c:v>0</c:v>
                </c:pt>
                <c:pt idx="2">
                  <c:v>100</c:v>
                </c:pt>
                <c:pt idx="3">
                  <c:v>100</c:v>
                </c:pt>
              </c:numCache>
            </c:numRef>
          </c:val>
          <c:extLst xmlns:c16r2="http://schemas.microsoft.com/office/drawing/2015/06/chart">
            <c:ext xmlns:c16="http://schemas.microsoft.com/office/drawing/2014/chart" uri="{C3380CC4-5D6E-409C-BE32-E72D297353CC}">
              <c16:uniqueId val="{00000001-1A4F-48F3-8A38-E01C8DA57DB2}"/>
            </c:ext>
          </c:extLst>
        </c:ser>
        <c:dLbls>
          <c:showLegendKey val="0"/>
          <c:showVal val="0"/>
          <c:showCatName val="0"/>
          <c:showSerName val="0"/>
          <c:showPercent val="0"/>
          <c:showBubbleSize val="0"/>
        </c:dLbls>
        <c:gapWidth val="219"/>
        <c:overlap val="-27"/>
        <c:axId val="170343200"/>
        <c:axId val="170343760"/>
      </c:barChart>
      <c:catAx>
        <c:axId val="170343200"/>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343760"/>
        <c:crosses val="autoZero"/>
        <c:auto val="1"/>
        <c:lblAlgn val="ctr"/>
        <c:lblOffset val="100"/>
        <c:noMultiLvlLbl val="0"/>
      </c:catAx>
      <c:valAx>
        <c:axId val="1703437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FF0000"/>
                    </a:solidFill>
                    <a:latin typeface="+mn-lt"/>
                    <a:ea typeface="+mn-ea"/>
                    <a:cs typeface="+mn-cs"/>
                  </a:defRPr>
                </a:pPr>
                <a:r>
                  <a:rPr lang="en-US">
                    <a:solidFill>
                      <a:srgbClr val="FF0000"/>
                    </a:solidFill>
                  </a:rPr>
                  <a:t>PORCENTAJE</a:t>
                </a:r>
              </a:p>
            </c:rich>
          </c:tx>
          <c:overlay val="0"/>
          <c:spPr>
            <a:noFill/>
            <a:ln>
              <a:noFill/>
            </a:ln>
            <a:effectLst/>
          </c:spPr>
          <c:txPr>
            <a:bodyPr rot="-5400000" spcFirstLastPara="1" vertOverflow="ellipsis" vert="horz" wrap="square" anchor="ctr" anchorCtr="1"/>
            <a:lstStyle/>
            <a:p>
              <a:pPr>
                <a:defRPr sz="1000" b="0" i="0" u="none" strike="noStrike" kern="1200" baseline="0">
                  <a:solidFill>
                    <a:srgbClr val="FF0000"/>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34320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FF0000"/>
                </a:solidFill>
                <a:latin typeface="+mn-lt"/>
                <a:ea typeface="+mn-ea"/>
                <a:cs typeface="+mn-cs"/>
              </a:defRPr>
            </a:pPr>
            <a:r>
              <a:rPr lang="en-US">
                <a:solidFill>
                  <a:srgbClr val="FF0000"/>
                </a:solidFill>
              </a:rPr>
              <a:t>ESTADO DE EJECUCIÓN METAS PRODUCTO PLAN DE DESARROLLO                       SECRETARIA DE AGRICULTURA, DESARROLLO RURAL Y MEDIO AMBIENTE  CON CORTE AL 30 DE SEPTIEMBRE DE 2016</a:t>
            </a:r>
          </a:p>
          <a:p>
            <a:pPr>
              <a:defRPr>
                <a:solidFill>
                  <a:srgbClr val="FF0000"/>
                </a:solidFill>
              </a:defRPr>
            </a:pPr>
            <a:endParaRPr lang="en-US">
              <a:solidFill>
                <a:srgbClr val="FF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FF0000"/>
              </a:solidFill>
              <a:latin typeface="+mn-lt"/>
              <a:ea typeface="+mn-ea"/>
              <a:cs typeface="+mn-cs"/>
            </a:defRPr>
          </a:pPr>
          <a:endParaRPr lang="es-CO"/>
        </a:p>
      </c:txPr>
    </c:title>
    <c:autoTitleDeleted val="0"/>
    <c:plotArea>
      <c:layout>
        <c:manualLayout>
          <c:layoutTarget val="inner"/>
          <c:xMode val="edge"/>
          <c:yMode val="edge"/>
          <c:x val="0.26268439827067541"/>
          <c:y val="0.16557781031139951"/>
          <c:w val="0.72729472490260216"/>
          <c:h val="0.72679096268745302"/>
        </c:manualLayout>
      </c:layout>
      <c:barChart>
        <c:barDir val="col"/>
        <c:grouping val="clustered"/>
        <c:varyColors val="0"/>
        <c:ser>
          <c:idx val="0"/>
          <c:order val="0"/>
          <c:tx>
            <c:strRef>
              <c:f>Agricultura!$E$32</c:f>
              <c:strCache>
                <c:ptCount val="1"/>
                <c:pt idx="0">
                  <c:v>NÚMERO DE METAS  PRODUCTO </c:v>
                </c:pt>
              </c:strCache>
            </c:strRef>
          </c:tx>
          <c:spPr>
            <a:solidFill>
              <a:schemeClr val="accent1"/>
            </a:solidFill>
            <a:ln>
              <a:noFill/>
            </a:ln>
            <a:effectLst/>
          </c:spPr>
          <c:invertIfNegative val="0"/>
          <c:cat>
            <c:strRef>
              <c:f>Agricultura!$D$33:$D$36</c:f>
              <c:strCache>
                <c:ptCount val="4"/>
                <c:pt idx="0">
                  <c:v>S. VERDE ( 80%-100%) </c:v>
                </c:pt>
                <c:pt idx="1">
                  <c:v>S. AMARILLO (49%-79%)</c:v>
                </c:pt>
                <c:pt idx="2">
                  <c:v>S. ROJO ( 0-49%)</c:v>
                </c:pt>
                <c:pt idx="3">
                  <c:v>TOTAL </c:v>
                </c:pt>
              </c:strCache>
            </c:strRef>
          </c:cat>
          <c:val>
            <c:numRef>
              <c:f>Agricultura!$E$33:$E$36</c:f>
              <c:numCache>
                <c:formatCode>General</c:formatCode>
                <c:ptCount val="4"/>
                <c:pt idx="0">
                  <c:v>2</c:v>
                </c:pt>
                <c:pt idx="1">
                  <c:v>1</c:v>
                </c:pt>
                <c:pt idx="2">
                  <c:v>26</c:v>
                </c:pt>
                <c:pt idx="3">
                  <c:v>29</c:v>
                </c:pt>
              </c:numCache>
            </c:numRef>
          </c:val>
          <c:extLst xmlns:c16r2="http://schemas.microsoft.com/office/drawing/2015/06/chart">
            <c:ext xmlns:c16="http://schemas.microsoft.com/office/drawing/2014/chart" uri="{C3380CC4-5D6E-409C-BE32-E72D297353CC}">
              <c16:uniqueId val="{00000000-1C1F-4AA2-9DC6-B9FEE38A4081}"/>
            </c:ext>
          </c:extLst>
        </c:ser>
        <c:ser>
          <c:idx val="1"/>
          <c:order val="1"/>
          <c:tx>
            <c:strRef>
              <c:f>Agricultura!$F$32</c:f>
              <c:strCache>
                <c:ptCount val="1"/>
                <c:pt idx="0">
                  <c:v>%</c:v>
                </c:pt>
              </c:strCache>
            </c:strRef>
          </c:tx>
          <c:spPr>
            <a:solidFill>
              <a:schemeClr val="accent2"/>
            </a:solidFill>
            <a:ln>
              <a:noFill/>
            </a:ln>
            <a:effectLst/>
          </c:spPr>
          <c:invertIfNegative val="0"/>
          <c:cat>
            <c:strRef>
              <c:f>Agricultura!$D$33:$D$36</c:f>
              <c:strCache>
                <c:ptCount val="4"/>
                <c:pt idx="0">
                  <c:v>S. VERDE ( 80%-100%) </c:v>
                </c:pt>
                <c:pt idx="1">
                  <c:v>S. AMARILLO (49%-79%)</c:v>
                </c:pt>
                <c:pt idx="2">
                  <c:v>S. ROJO ( 0-49%)</c:v>
                </c:pt>
                <c:pt idx="3">
                  <c:v>TOTAL </c:v>
                </c:pt>
              </c:strCache>
            </c:strRef>
          </c:cat>
          <c:val>
            <c:numRef>
              <c:f>Agricultura!$F$33:$F$36</c:f>
              <c:numCache>
                <c:formatCode>0.00</c:formatCode>
                <c:ptCount val="4"/>
                <c:pt idx="0">
                  <c:v>6.8965517241379306</c:v>
                </c:pt>
                <c:pt idx="1">
                  <c:v>3.4482758620689653</c:v>
                </c:pt>
                <c:pt idx="2">
                  <c:v>89.65517241379311</c:v>
                </c:pt>
                <c:pt idx="3">
                  <c:v>100</c:v>
                </c:pt>
              </c:numCache>
            </c:numRef>
          </c:val>
          <c:extLst xmlns:c16r2="http://schemas.microsoft.com/office/drawing/2015/06/chart">
            <c:ext xmlns:c16="http://schemas.microsoft.com/office/drawing/2014/chart" uri="{C3380CC4-5D6E-409C-BE32-E72D297353CC}">
              <c16:uniqueId val="{00000001-1C1F-4AA2-9DC6-B9FEE38A4081}"/>
            </c:ext>
          </c:extLst>
        </c:ser>
        <c:dLbls>
          <c:showLegendKey val="0"/>
          <c:showVal val="0"/>
          <c:showCatName val="0"/>
          <c:showSerName val="0"/>
          <c:showPercent val="0"/>
          <c:showBubbleSize val="0"/>
        </c:dLbls>
        <c:gapWidth val="219"/>
        <c:overlap val="-27"/>
        <c:axId val="168902576"/>
        <c:axId val="168903136"/>
      </c:barChart>
      <c:catAx>
        <c:axId val="168902576"/>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8903136"/>
        <c:crosses val="autoZero"/>
        <c:auto val="1"/>
        <c:lblAlgn val="ctr"/>
        <c:lblOffset val="100"/>
        <c:noMultiLvlLbl val="0"/>
      </c:catAx>
      <c:valAx>
        <c:axId val="1689031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FF0000"/>
                    </a:solidFill>
                    <a:latin typeface="+mn-lt"/>
                    <a:ea typeface="+mn-ea"/>
                    <a:cs typeface="+mn-cs"/>
                  </a:defRPr>
                </a:pPr>
                <a:r>
                  <a:rPr lang="en-US">
                    <a:solidFill>
                      <a:srgbClr val="FF0000"/>
                    </a:solidFill>
                  </a:rPr>
                  <a:t>PORCENTAJE</a:t>
                </a:r>
              </a:p>
            </c:rich>
          </c:tx>
          <c:overlay val="0"/>
          <c:spPr>
            <a:noFill/>
            <a:ln>
              <a:noFill/>
            </a:ln>
            <a:effectLst/>
          </c:spPr>
          <c:txPr>
            <a:bodyPr rot="-5400000" spcFirstLastPara="1" vertOverflow="ellipsis" vert="horz" wrap="square" anchor="ctr" anchorCtr="1"/>
            <a:lstStyle/>
            <a:p>
              <a:pPr>
                <a:defRPr sz="1000" b="0" i="0" u="none" strike="noStrike" kern="1200" baseline="0">
                  <a:solidFill>
                    <a:srgbClr val="FF0000"/>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890257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FF0000"/>
                </a:solidFill>
                <a:latin typeface="+mn-lt"/>
                <a:ea typeface="+mn-ea"/>
                <a:cs typeface="+mn-cs"/>
              </a:defRPr>
            </a:pPr>
            <a:r>
              <a:rPr lang="en-US">
                <a:solidFill>
                  <a:srgbClr val="FF0000"/>
                </a:solidFill>
              </a:rPr>
              <a:t>ESTADO DE EJECUCIÓN METAS PRODUCTO PLAN DE DESARROLLO  SECRETARIA DE FAMILIA CON CORTE AL 30 DE SEPTIEMBRE </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FF0000"/>
              </a:solidFill>
              <a:latin typeface="+mn-lt"/>
              <a:ea typeface="+mn-ea"/>
              <a:cs typeface="+mn-cs"/>
            </a:defRPr>
          </a:pPr>
          <a:endParaRPr lang="es-CO"/>
        </a:p>
      </c:txPr>
    </c:title>
    <c:autoTitleDeleted val="0"/>
    <c:plotArea>
      <c:layout/>
      <c:barChart>
        <c:barDir val="col"/>
        <c:grouping val="clustered"/>
        <c:varyColors val="0"/>
        <c:ser>
          <c:idx val="0"/>
          <c:order val="0"/>
          <c:tx>
            <c:strRef>
              <c:f>Familia!$E$33</c:f>
              <c:strCache>
                <c:ptCount val="1"/>
                <c:pt idx="0">
                  <c:v>NÚMERO DE METAS  PRODUCTO </c:v>
                </c:pt>
              </c:strCache>
            </c:strRef>
          </c:tx>
          <c:spPr>
            <a:solidFill>
              <a:schemeClr val="accent1"/>
            </a:solidFill>
            <a:ln>
              <a:noFill/>
            </a:ln>
            <a:effectLst/>
          </c:spPr>
          <c:invertIfNegative val="0"/>
          <c:cat>
            <c:strRef>
              <c:f>Familia!$D$34:$D$37</c:f>
              <c:strCache>
                <c:ptCount val="4"/>
                <c:pt idx="0">
                  <c:v>S. VERDE ( 80%-100%) </c:v>
                </c:pt>
                <c:pt idx="1">
                  <c:v>S. AMARILLO (49%-79%)</c:v>
                </c:pt>
                <c:pt idx="2">
                  <c:v>S. ROJO ( 0-49%)</c:v>
                </c:pt>
                <c:pt idx="3">
                  <c:v>TOTAL </c:v>
                </c:pt>
              </c:strCache>
            </c:strRef>
          </c:cat>
          <c:val>
            <c:numRef>
              <c:f>Familia!$E$34:$E$37</c:f>
              <c:numCache>
                <c:formatCode>General</c:formatCode>
                <c:ptCount val="4"/>
                <c:pt idx="0">
                  <c:v>0</c:v>
                </c:pt>
                <c:pt idx="1">
                  <c:v>1</c:v>
                </c:pt>
                <c:pt idx="2">
                  <c:v>18</c:v>
                </c:pt>
                <c:pt idx="3">
                  <c:v>19</c:v>
                </c:pt>
              </c:numCache>
            </c:numRef>
          </c:val>
          <c:extLst xmlns:c16r2="http://schemas.microsoft.com/office/drawing/2015/06/chart">
            <c:ext xmlns:c16="http://schemas.microsoft.com/office/drawing/2014/chart" uri="{C3380CC4-5D6E-409C-BE32-E72D297353CC}">
              <c16:uniqueId val="{00000000-1801-40AD-9D3D-FAADD0E56724}"/>
            </c:ext>
          </c:extLst>
        </c:ser>
        <c:ser>
          <c:idx val="1"/>
          <c:order val="1"/>
          <c:tx>
            <c:strRef>
              <c:f>Familia!$F$33</c:f>
              <c:strCache>
                <c:ptCount val="1"/>
                <c:pt idx="0">
                  <c:v>%</c:v>
                </c:pt>
              </c:strCache>
            </c:strRef>
          </c:tx>
          <c:spPr>
            <a:solidFill>
              <a:schemeClr val="accent2"/>
            </a:solidFill>
            <a:ln>
              <a:noFill/>
            </a:ln>
            <a:effectLst/>
          </c:spPr>
          <c:invertIfNegative val="0"/>
          <c:cat>
            <c:strRef>
              <c:f>Familia!$D$34:$D$37</c:f>
              <c:strCache>
                <c:ptCount val="4"/>
                <c:pt idx="0">
                  <c:v>S. VERDE ( 80%-100%) </c:v>
                </c:pt>
                <c:pt idx="1">
                  <c:v>S. AMARILLO (49%-79%)</c:v>
                </c:pt>
                <c:pt idx="2">
                  <c:v>S. ROJO ( 0-49%)</c:v>
                </c:pt>
                <c:pt idx="3">
                  <c:v>TOTAL </c:v>
                </c:pt>
              </c:strCache>
            </c:strRef>
          </c:cat>
          <c:val>
            <c:numRef>
              <c:f>Familia!$F$34:$F$37</c:f>
              <c:numCache>
                <c:formatCode>0.00</c:formatCode>
                <c:ptCount val="4"/>
                <c:pt idx="0" formatCode="General">
                  <c:v>0</c:v>
                </c:pt>
                <c:pt idx="1">
                  <c:v>5.2631578947368416</c:v>
                </c:pt>
                <c:pt idx="2">
                  <c:v>94.73684210526315</c:v>
                </c:pt>
                <c:pt idx="3" formatCode="General">
                  <c:v>100</c:v>
                </c:pt>
              </c:numCache>
            </c:numRef>
          </c:val>
          <c:extLst xmlns:c16r2="http://schemas.microsoft.com/office/drawing/2015/06/chart">
            <c:ext xmlns:c16="http://schemas.microsoft.com/office/drawing/2014/chart" uri="{C3380CC4-5D6E-409C-BE32-E72D297353CC}">
              <c16:uniqueId val="{00000001-1801-40AD-9D3D-FAADD0E56724}"/>
            </c:ext>
          </c:extLst>
        </c:ser>
        <c:dLbls>
          <c:showLegendKey val="0"/>
          <c:showVal val="0"/>
          <c:showCatName val="0"/>
          <c:showSerName val="0"/>
          <c:showPercent val="0"/>
          <c:showBubbleSize val="0"/>
        </c:dLbls>
        <c:gapWidth val="219"/>
        <c:overlap val="-27"/>
        <c:axId val="168907056"/>
        <c:axId val="168907616"/>
      </c:barChart>
      <c:catAx>
        <c:axId val="168907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8907616"/>
        <c:crosses val="autoZero"/>
        <c:auto val="1"/>
        <c:lblAlgn val="ctr"/>
        <c:lblOffset val="100"/>
        <c:noMultiLvlLbl val="0"/>
      </c:catAx>
      <c:valAx>
        <c:axId val="168907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FF0000"/>
                    </a:solidFill>
                    <a:latin typeface="+mn-lt"/>
                    <a:ea typeface="+mn-ea"/>
                    <a:cs typeface="+mn-cs"/>
                  </a:defRPr>
                </a:pPr>
                <a:r>
                  <a:rPr lang="en-US">
                    <a:solidFill>
                      <a:srgbClr val="FF0000"/>
                    </a:solidFill>
                  </a:rPr>
                  <a:t>PORCENTAJE</a:t>
                </a:r>
              </a:p>
            </c:rich>
          </c:tx>
          <c:overlay val="0"/>
          <c:spPr>
            <a:noFill/>
            <a:ln>
              <a:noFill/>
            </a:ln>
            <a:effectLst/>
          </c:spPr>
          <c:txPr>
            <a:bodyPr rot="-5400000" spcFirstLastPara="1" vertOverflow="ellipsis" vert="horz" wrap="square" anchor="ctr" anchorCtr="1"/>
            <a:lstStyle/>
            <a:p>
              <a:pPr>
                <a:defRPr sz="1000" b="0" i="0" u="none" strike="noStrike" kern="1200" baseline="0">
                  <a:solidFill>
                    <a:srgbClr val="FF0000"/>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8907056"/>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FF0000"/>
                </a:solidFill>
                <a:latin typeface="+mn-lt"/>
                <a:ea typeface="+mn-ea"/>
                <a:cs typeface="+mn-cs"/>
              </a:defRPr>
            </a:pPr>
            <a:r>
              <a:rPr lang="en-US">
                <a:solidFill>
                  <a:srgbClr val="FF0000"/>
                </a:solidFill>
              </a:rPr>
              <a:t>ESTADO DE EJECUCIÓN METAS PRODUCTO  SECRETARIA DE TURÍSMO, INDUSTRIA Y COMERCIO  CON CORTE AL 30 DE SEPTIEMBRE DE 2016</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FF0000"/>
              </a:solidFill>
              <a:latin typeface="+mn-lt"/>
              <a:ea typeface="+mn-ea"/>
              <a:cs typeface="+mn-cs"/>
            </a:defRPr>
          </a:pPr>
          <a:endParaRPr lang="es-CO"/>
        </a:p>
      </c:txPr>
    </c:title>
    <c:autoTitleDeleted val="0"/>
    <c:plotArea>
      <c:layout/>
      <c:barChart>
        <c:barDir val="col"/>
        <c:grouping val="clustered"/>
        <c:varyColors val="0"/>
        <c:ser>
          <c:idx val="0"/>
          <c:order val="0"/>
          <c:tx>
            <c:strRef>
              <c:f>Turismo!$F$30</c:f>
              <c:strCache>
                <c:ptCount val="1"/>
                <c:pt idx="0">
                  <c:v>NÚMERO DE METAS  PRODUCTO </c:v>
                </c:pt>
              </c:strCache>
            </c:strRef>
          </c:tx>
          <c:spPr>
            <a:solidFill>
              <a:schemeClr val="accent1"/>
            </a:solidFill>
            <a:ln>
              <a:noFill/>
            </a:ln>
            <a:effectLst/>
          </c:spPr>
          <c:invertIfNegative val="0"/>
          <c:cat>
            <c:strRef>
              <c:f>Turismo!$E$31:$E$34</c:f>
              <c:strCache>
                <c:ptCount val="4"/>
                <c:pt idx="0">
                  <c:v>S. VERDE ( 80%-100%) </c:v>
                </c:pt>
                <c:pt idx="1">
                  <c:v>S. AMARILLO (49%-79%)</c:v>
                </c:pt>
                <c:pt idx="2">
                  <c:v>S. ROJO ( 0-49%)</c:v>
                </c:pt>
                <c:pt idx="3">
                  <c:v>TOTAL </c:v>
                </c:pt>
              </c:strCache>
            </c:strRef>
          </c:cat>
          <c:val>
            <c:numRef>
              <c:f>Turismo!$F$31:$F$34</c:f>
              <c:numCache>
                <c:formatCode>General</c:formatCode>
                <c:ptCount val="4"/>
                <c:pt idx="0">
                  <c:v>0</c:v>
                </c:pt>
                <c:pt idx="1">
                  <c:v>0</c:v>
                </c:pt>
                <c:pt idx="2">
                  <c:v>15</c:v>
                </c:pt>
                <c:pt idx="3">
                  <c:v>15</c:v>
                </c:pt>
              </c:numCache>
            </c:numRef>
          </c:val>
          <c:extLst xmlns:c16r2="http://schemas.microsoft.com/office/drawing/2015/06/chart">
            <c:ext xmlns:c16="http://schemas.microsoft.com/office/drawing/2014/chart" uri="{C3380CC4-5D6E-409C-BE32-E72D297353CC}">
              <c16:uniqueId val="{00000000-FE85-4057-ACC1-5BABD31E34DE}"/>
            </c:ext>
          </c:extLst>
        </c:ser>
        <c:ser>
          <c:idx val="1"/>
          <c:order val="1"/>
          <c:tx>
            <c:strRef>
              <c:f>Turismo!$G$30</c:f>
              <c:strCache>
                <c:ptCount val="1"/>
                <c:pt idx="0">
                  <c:v>%</c:v>
                </c:pt>
              </c:strCache>
            </c:strRef>
          </c:tx>
          <c:spPr>
            <a:solidFill>
              <a:schemeClr val="accent2"/>
            </a:solidFill>
            <a:ln>
              <a:noFill/>
            </a:ln>
            <a:effectLst/>
          </c:spPr>
          <c:invertIfNegative val="0"/>
          <c:cat>
            <c:strRef>
              <c:f>Turismo!$E$31:$E$34</c:f>
              <c:strCache>
                <c:ptCount val="4"/>
                <c:pt idx="0">
                  <c:v>S. VERDE ( 80%-100%) </c:v>
                </c:pt>
                <c:pt idx="1">
                  <c:v>S. AMARILLO (49%-79%)</c:v>
                </c:pt>
                <c:pt idx="2">
                  <c:v>S. ROJO ( 0-49%)</c:v>
                </c:pt>
                <c:pt idx="3">
                  <c:v>TOTAL </c:v>
                </c:pt>
              </c:strCache>
            </c:strRef>
          </c:cat>
          <c:val>
            <c:numRef>
              <c:f>Turismo!$G$31:$G$34</c:f>
              <c:numCache>
                <c:formatCode>General</c:formatCode>
                <c:ptCount val="4"/>
                <c:pt idx="0">
                  <c:v>0</c:v>
                </c:pt>
                <c:pt idx="1">
                  <c:v>0</c:v>
                </c:pt>
                <c:pt idx="2">
                  <c:v>100</c:v>
                </c:pt>
                <c:pt idx="3">
                  <c:v>100</c:v>
                </c:pt>
              </c:numCache>
            </c:numRef>
          </c:val>
          <c:extLst xmlns:c16r2="http://schemas.microsoft.com/office/drawing/2015/06/chart">
            <c:ext xmlns:c16="http://schemas.microsoft.com/office/drawing/2014/chart" uri="{C3380CC4-5D6E-409C-BE32-E72D297353CC}">
              <c16:uniqueId val="{00000001-FE85-4057-ACC1-5BABD31E34DE}"/>
            </c:ext>
          </c:extLst>
        </c:ser>
        <c:dLbls>
          <c:showLegendKey val="0"/>
          <c:showVal val="0"/>
          <c:showCatName val="0"/>
          <c:showSerName val="0"/>
          <c:showPercent val="0"/>
          <c:showBubbleSize val="0"/>
        </c:dLbls>
        <c:gapWidth val="219"/>
        <c:overlap val="-27"/>
        <c:axId val="169323552"/>
        <c:axId val="169324112"/>
      </c:barChart>
      <c:catAx>
        <c:axId val="1693235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9324112"/>
        <c:crosses val="autoZero"/>
        <c:auto val="1"/>
        <c:lblAlgn val="ctr"/>
        <c:lblOffset val="100"/>
        <c:noMultiLvlLbl val="0"/>
      </c:catAx>
      <c:valAx>
        <c:axId val="1693241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FF0000"/>
                    </a:solidFill>
                  </a:rPr>
                  <a:t>PORCENTAJE</a:t>
                </a:r>
                <a:r>
                  <a:rPr lang="en-US"/>
                  <a:t>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932355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FF0000"/>
                </a:solidFill>
                <a:latin typeface="+mn-lt"/>
                <a:ea typeface="+mn-ea"/>
                <a:cs typeface="+mn-cs"/>
              </a:defRPr>
            </a:pPr>
            <a:r>
              <a:rPr lang="en-US" b="1">
                <a:solidFill>
                  <a:srgbClr val="FF0000"/>
                </a:solidFill>
              </a:rPr>
              <a:t>ESTADO DE EJECUCIÓN METAS PLAN DE DESARROLLO                                SECRETARIA DE HACIENDA CON CORTE AL 30 DE SEPTIEMBRE DE 2016</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FF0000"/>
              </a:solidFill>
              <a:latin typeface="+mn-lt"/>
              <a:ea typeface="+mn-ea"/>
              <a:cs typeface="+mn-cs"/>
            </a:defRPr>
          </a:pPr>
          <a:endParaRPr lang="es-CO"/>
        </a:p>
      </c:txPr>
    </c:title>
    <c:autoTitleDeleted val="0"/>
    <c:plotArea>
      <c:layout/>
      <c:barChart>
        <c:barDir val="col"/>
        <c:grouping val="clustered"/>
        <c:varyColors val="0"/>
        <c:ser>
          <c:idx val="0"/>
          <c:order val="0"/>
          <c:tx>
            <c:strRef>
              <c:f>Hacienda!$E$14</c:f>
              <c:strCache>
                <c:ptCount val="1"/>
                <c:pt idx="0">
                  <c:v>NÚMERO DE METAS  PRODUCTO </c:v>
                </c:pt>
              </c:strCache>
            </c:strRef>
          </c:tx>
          <c:spPr>
            <a:solidFill>
              <a:schemeClr val="accent1"/>
            </a:solidFill>
            <a:ln>
              <a:noFill/>
            </a:ln>
            <a:effectLst/>
          </c:spPr>
          <c:invertIfNegative val="0"/>
          <c:cat>
            <c:strRef>
              <c:f>Hacienda!$D$15:$D$18</c:f>
              <c:strCache>
                <c:ptCount val="4"/>
                <c:pt idx="0">
                  <c:v>S. VERDE ( 80%-100%) </c:v>
                </c:pt>
                <c:pt idx="1">
                  <c:v>S. AMARILLO (49%-79%)</c:v>
                </c:pt>
                <c:pt idx="2">
                  <c:v>S. ROJO ( 0-49%)</c:v>
                </c:pt>
                <c:pt idx="3">
                  <c:v>TOTAL </c:v>
                </c:pt>
              </c:strCache>
            </c:strRef>
          </c:cat>
          <c:val>
            <c:numRef>
              <c:f>Hacienda!$E$15:$E$18</c:f>
              <c:numCache>
                <c:formatCode>0.00</c:formatCode>
                <c:ptCount val="4"/>
                <c:pt idx="0" formatCode="General">
                  <c:v>0</c:v>
                </c:pt>
                <c:pt idx="1">
                  <c:v>1</c:v>
                </c:pt>
                <c:pt idx="2">
                  <c:v>4</c:v>
                </c:pt>
                <c:pt idx="3" formatCode="General">
                  <c:v>5</c:v>
                </c:pt>
              </c:numCache>
            </c:numRef>
          </c:val>
          <c:extLst xmlns:c16r2="http://schemas.microsoft.com/office/drawing/2015/06/chart">
            <c:ext xmlns:c16="http://schemas.microsoft.com/office/drawing/2014/chart" uri="{C3380CC4-5D6E-409C-BE32-E72D297353CC}">
              <c16:uniqueId val="{00000000-826A-4CA4-AA75-52ABB6707B61}"/>
            </c:ext>
          </c:extLst>
        </c:ser>
        <c:ser>
          <c:idx val="1"/>
          <c:order val="1"/>
          <c:tx>
            <c:strRef>
              <c:f>Hacienda!$F$14</c:f>
              <c:strCache>
                <c:ptCount val="1"/>
                <c:pt idx="0">
                  <c:v>%</c:v>
                </c:pt>
              </c:strCache>
            </c:strRef>
          </c:tx>
          <c:spPr>
            <a:solidFill>
              <a:schemeClr val="accent2"/>
            </a:solidFill>
            <a:ln>
              <a:noFill/>
            </a:ln>
            <a:effectLst/>
          </c:spPr>
          <c:invertIfNegative val="0"/>
          <c:cat>
            <c:strRef>
              <c:f>Hacienda!$D$15:$D$18</c:f>
              <c:strCache>
                <c:ptCount val="4"/>
                <c:pt idx="0">
                  <c:v>S. VERDE ( 80%-100%) </c:v>
                </c:pt>
                <c:pt idx="1">
                  <c:v>S. AMARILLO (49%-79%)</c:v>
                </c:pt>
                <c:pt idx="2">
                  <c:v>S. ROJO ( 0-49%)</c:v>
                </c:pt>
                <c:pt idx="3">
                  <c:v>TOTAL </c:v>
                </c:pt>
              </c:strCache>
            </c:strRef>
          </c:cat>
          <c:val>
            <c:numRef>
              <c:f>Hacienda!$F$15:$F$18</c:f>
              <c:numCache>
                <c:formatCode>General</c:formatCode>
                <c:ptCount val="4"/>
                <c:pt idx="0">
                  <c:v>0</c:v>
                </c:pt>
                <c:pt idx="1">
                  <c:v>20</c:v>
                </c:pt>
                <c:pt idx="2">
                  <c:v>80</c:v>
                </c:pt>
                <c:pt idx="3">
                  <c:v>100</c:v>
                </c:pt>
              </c:numCache>
            </c:numRef>
          </c:val>
          <c:extLst xmlns:c16r2="http://schemas.microsoft.com/office/drawing/2015/06/chart">
            <c:ext xmlns:c16="http://schemas.microsoft.com/office/drawing/2014/chart" uri="{C3380CC4-5D6E-409C-BE32-E72D297353CC}">
              <c16:uniqueId val="{00000001-826A-4CA4-AA75-52ABB6707B61}"/>
            </c:ext>
          </c:extLst>
        </c:ser>
        <c:dLbls>
          <c:showLegendKey val="0"/>
          <c:showVal val="0"/>
          <c:showCatName val="0"/>
          <c:showSerName val="0"/>
          <c:showPercent val="0"/>
          <c:showBubbleSize val="0"/>
        </c:dLbls>
        <c:gapWidth val="219"/>
        <c:overlap val="-27"/>
        <c:axId val="169328032"/>
        <c:axId val="169591760"/>
      </c:barChart>
      <c:catAx>
        <c:axId val="169328032"/>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9591760"/>
        <c:crosses val="autoZero"/>
        <c:auto val="1"/>
        <c:lblAlgn val="ctr"/>
        <c:lblOffset val="100"/>
        <c:noMultiLvlLbl val="0"/>
      </c:catAx>
      <c:valAx>
        <c:axId val="1695917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FF0000"/>
                    </a:solidFill>
                    <a:latin typeface="+mn-lt"/>
                    <a:ea typeface="+mn-ea"/>
                    <a:cs typeface="+mn-cs"/>
                  </a:defRPr>
                </a:pPr>
                <a:r>
                  <a:rPr lang="en-US">
                    <a:solidFill>
                      <a:srgbClr val="FF0000"/>
                    </a:solidFill>
                  </a:rPr>
                  <a:t>PORCENTAJE</a:t>
                </a:r>
              </a:p>
            </c:rich>
          </c:tx>
          <c:overlay val="0"/>
          <c:spPr>
            <a:noFill/>
            <a:ln>
              <a:noFill/>
            </a:ln>
            <a:effectLst/>
          </c:spPr>
          <c:txPr>
            <a:bodyPr rot="-5400000" spcFirstLastPara="1" vertOverflow="ellipsis" vert="horz" wrap="square" anchor="ctr" anchorCtr="1"/>
            <a:lstStyle/>
            <a:p>
              <a:pPr>
                <a:defRPr sz="1000" b="0" i="0" u="none" strike="noStrike" kern="1200" baseline="0">
                  <a:solidFill>
                    <a:srgbClr val="FF0000"/>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932803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FF0000"/>
                </a:solidFill>
                <a:latin typeface="+mn-lt"/>
                <a:ea typeface="+mn-ea"/>
                <a:cs typeface="+mn-cs"/>
              </a:defRPr>
            </a:pPr>
            <a:r>
              <a:rPr lang="en-US" b="1">
                <a:solidFill>
                  <a:srgbClr val="FF0000"/>
                </a:solidFill>
              </a:rPr>
              <a:t>ESTADO DE EJECUCIÓN METAS PRODUCTO                                                                         PLAN DE DESARROLLO" EN DEFENSA DEL BIEN COMÚN"  SECRETARIA ADMINISTRATIVA   A SEPTIEMBRE 30 DE 2016 </a:t>
            </a:r>
          </a:p>
        </c:rich>
      </c:tx>
      <c:layout>
        <c:manualLayout>
          <c:xMode val="edge"/>
          <c:yMode val="edge"/>
          <c:x val="0.16284649567318937"/>
          <c:y val="2.7027027027027029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rgbClr val="FF0000"/>
              </a:solidFill>
              <a:latin typeface="+mn-lt"/>
              <a:ea typeface="+mn-ea"/>
              <a:cs typeface="+mn-cs"/>
            </a:defRPr>
          </a:pPr>
          <a:endParaRPr lang="es-CO"/>
        </a:p>
      </c:txPr>
    </c:title>
    <c:autoTitleDeleted val="0"/>
    <c:plotArea>
      <c:layout/>
      <c:barChart>
        <c:barDir val="col"/>
        <c:grouping val="clustered"/>
        <c:varyColors val="0"/>
        <c:ser>
          <c:idx val="0"/>
          <c:order val="0"/>
          <c:tx>
            <c:strRef>
              <c:f>Administrativa!$F$19</c:f>
              <c:strCache>
                <c:ptCount val="1"/>
                <c:pt idx="0">
                  <c:v>S. VERDE ( 80%-100%) </c:v>
                </c:pt>
              </c:strCache>
            </c:strRef>
          </c:tx>
          <c:spPr>
            <a:solidFill>
              <a:schemeClr val="accent1"/>
            </a:solidFill>
            <a:ln>
              <a:noFill/>
            </a:ln>
            <a:effectLst/>
          </c:spPr>
          <c:invertIfNegative val="0"/>
          <c:dPt>
            <c:idx val="1"/>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D-041E-4884-857C-AB9BAD887389}"/>
              </c:ext>
            </c:extLst>
          </c:dPt>
          <c:cat>
            <c:strRef>
              <c:f>Administrativa!$G$18:$J$18</c:f>
              <c:strCache>
                <c:ptCount val="2"/>
                <c:pt idx="0">
                  <c:v>NÚMERO DE METAS  PRODUCTO </c:v>
                </c:pt>
                <c:pt idx="1">
                  <c:v>%</c:v>
                </c:pt>
              </c:strCache>
            </c:strRef>
          </c:cat>
          <c:val>
            <c:numRef>
              <c:f>Administrativa!$G$19:$J$19</c:f>
              <c:numCache>
                <c:formatCode>General</c:formatCode>
                <c:ptCount val="2"/>
                <c:pt idx="0">
                  <c:v>1</c:v>
                </c:pt>
                <c:pt idx="1">
                  <c:v>20</c:v>
                </c:pt>
              </c:numCache>
            </c:numRef>
          </c:val>
          <c:extLst xmlns:c16r2="http://schemas.microsoft.com/office/drawing/2015/06/chart">
            <c:ext xmlns:c16="http://schemas.microsoft.com/office/drawing/2014/chart" uri="{C3380CC4-5D6E-409C-BE32-E72D297353CC}">
              <c16:uniqueId val="{00000000-041E-4884-857C-AB9BAD887389}"/>
            </c:ext>
          </c:extLst>
        </c:ser>
        <c:ser>
          <c:idx val="1"/>
          <c:order val="1"/>
          <c:tx>
            <c:strRef>
              <c:f>Administrativa!$F$20</c:f>
              <c:strCache>
                <c:ptCount val="1"/>
                <c:pt idx="0">
                  <c:v>S. AMARILLO (49%-79%)</c:v>
                </c:pt>
              </c:strCache>
            </c:strRef>
          </c:tx>
          <c:spPr>
            <a:solidFill>
              <a:schemeClr val="accent2"/>
            </a:solidFill>
            <a:ln>
              <a:noFill/>
            </a:ln>
            <a:effectLst/>
          </c:spPr>
          <c:invertIfNegative val="0"/>
          <c:cat>
            <c:strRef>
              <c:f>Administrativa!$G$18:$J$18</c:f>
              <c:strCache>
                <c:ptCount val="2"/>
                <c:pt idx="0">
                  <c:v>NÚMERO DE METAS  PRODUCTO </c:v>
                </c:pt>
                <c:pt idx="1">
                  <c:v>%</c:v>
                </c:pt>
              </c:strCache>
            </c:strRef>
          </c:cat>
          <c:val>
            <c:numRef>
              <c:f>Administrativa!$G$20:$J$20</c:f>
              <c:numCache>
                <c:formatCode>General</c:formatCode>
                <c:ptCount val="2"/>
                <c:pt idx="0">
                  <c:v>0</c:v>
                </c:pt>
                <c:pt idx="1">
                  <c:v>0</c:v>
                </c:pt>
              </c:numCache>
            </c:numRef>
          </c:val>
          <c:extLst xmlns:c16r2="http://schemas.microsoft.com/office/drawing/2015/06/chart">
            <c:ext xmlns:c16="http://schemas.microsoft.com/office/drawing/2014/chart" uri="{C3380CC4-5D6E-409C-BE32-E72D297353CC}">
              <c16:uniqueId val="{00000001-041E-4884-857C-AB9BAD887389}"/>
            </c:ext>
          </c:extLst>
        </c:ser>
        <c:ser>
          <c:idx val="2"/>
          <c:order val="2"/>
          <c:tx>
            <c:strRef>
              <c:f>Administrativa!$F$21</c:f>
              <c:strCache>
                <c:ptCount val="1"/>
                <c:pt idx="0">
                  <c:v>S. ROJO ( 0-49%)</c:v>
                </c:pt>
              </c:strCache>
            </c:strRef>
          </c:tx>
          <c:spPr>
            <a:solidFill>
              <a:schemeClr val="accent3"/>
            </a:solidFill>
            <a:ln>
              <a:noFill/>
            </a:ln>
            <a:effectLst/>
          </c:spPr>
          <c:invertIfNegative val="0"/>
          <c:cat>
            <c:strRef>
              <c:f>Administrativa!$G$18:$J$18</c:f>
              <c:strCache>
                <c:ptCount val="2"/>
                <c:pt idx="0">
                  <c:v>NÚMERO DE METAS  PRODUCTO </c:v>
                </c:pt>
                <c:pt idx="1">
                  <c:v>%</c:v>
                </c:pt>
              </c:strCache>
            </c:strRef>
          </c:cat>
          <c:val>
            <c:numRef>
              <c:f>Administrativa!$G$21:$J$21</c:f>
              <c:numCache>
                <c:formatCode>General</c:formatCode>
                <c:ptCount val="2"/>
                <c:pt idx="0">
                  <c:v>4</c:v>
                </c:pt>
                <c:pt idx="1">
                  <c:v>80</c:v>
                </c:pt>
              </c:numCache>
            </c:numRef>
          </c:val>
          <c:extLst xmlns:c16r2="http://schemas.microsoft.com/office/drawing/2015/06/chart">
            <c:ext xmlns:c16="http://schemas.microsoft.com/office/drawing/2014/chart" uri="{C3380CC4-5D6E-409C-BE32-E72D297353CC}">
              <c16:uniqueId val="{00000002-041E-4884-857C-AB9BAD887389}"/>
            </c:ext>
          </c:extLst>
        </c:ser>
        <c:ser>
          <c:idx val="3"/>
          <c:order val="3"/>
          <c:tx>
            <c:strRef>
              <c:f>Administrativa!$F$22</c:f>
              <c:strCache>
                <c:ptCount val="1"/>
                <c:pt idx="0">
                  <c:v>TOTAL </c:v>
                </c:pt>
              </c:strCache>
            </c:strRef>
          </c:tx>
          <c:spPr>
            <a:solidFill>
              <a:srgbClr val="FFFF00"/>
            </a:solidFill>
            <a:ln>
              <a:noFill/>
            </a:ln>
            <a:effectLst/>
          </c:spPr>
          <c:invertIfNegative val="0"/>
          <c:dPt>
            <c:idx val="1"/>
            <c:invertIfNegative val="0"/>
            <c:bubble3D val="0"/>
            <c:spPr>
              <a:solidFill>
                <a:srgbClr val="FF0000"/>
              </a:solidFill>
              <a:ln>
                <a:noFill/>
              </a:ln>
              <a:effectLst/>
            </c:spPr>
            <c:extLst xmlns:c16r2="http://schemas.microsoft.com/office/drawing/2015/06/chart">
              <c:ext xmlns:c16="http://schemas.microsoft.com/office/drawing/2014/chart" uri="{C3380CC4-5D6E-409C-BE32-E72D297353CC}">
                <c16:uniqueId val="{0000000E-041E-4884-857C-AB9BAD887389}"/>
              </c:ext>
            </c:extLst>
          </c:dPt>
          <c:cat>
            <c:strRef>
              <c:f>Administrativa!$G$18:$J$18</c:f>
              <c:strCache>
                <c:ptCount val="2"/>
                <c:pt idx="0">
                  <c:v>NÚMERO DE METAS  PRODUCTO </c:v>
                </c:pt>
                <c:pt idx="1">
                  <c:v>%</c:v>
                </c:pt>
              </c:strCache>
            </c:strRef>
          </c:cat>
          <c:val>
            <c:numRef>
              <c:f>Administrativa!$G$22:$J$22</c:f>
              <c:numCache>
                <c:formatCode>General</c:formatCode>
                <c:ptCount val="2"/>
                <c:pt idx="0">
                  <c:v>5</c:v>
                </c:pt>
                <c:pt idx="1">
                  <c:v>100</c:v>
                </c:pt>
              </c:numCache>
            </c:numRef>
          </c:val>
          <c:extLst xmlns:c16r2="http://schemas.microsoft.com/office/drawing/2015/06/chart">
            <c:ext xmlns:c16="http://schemas.microsoft.com/office/drawing/2014/chart" uri="{C3380CC4-5D6E-409C-BE32-E72D297353CC}">
              <c16:uniqueId val="{00000003-041E-4884-857C-AB9BAD887389}"/>
            </c:ext>
          </c:extLst>
        </c:ser>
        <c:dLbls>
          <c:showLegendKey val="0"/>
          <c:showVal val="0"/>
          <c:showCatName val="0"/>
          <c:showSerName val="0"/>
          <c:showPercent val="0"/>
          <c:showBubbleSize val="0"/>
        </c:dLbls>
        <c:gapWidth val="219"/>
        <c:overlap val="-27"/>
        <c:axId val="169597360"/>
        <c:axId val="169597920"/>
      </c:barChart>
      <c:catAx>
        <c:axId val="1695973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9597920"/>
        <c:crosses val="autoZero"/>
        <c:auto val="1"/>
        <c:lblAlgn val="ctr"/>
        <c:lblOffset val="100"/>
        <c:noMultiLvlLbl val="0"/>
      </c:catAx>
      <c:valAx>
        <c:axId val="1695979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FF0000"/>
                    </a:solidFill>
                    <a:latin typeface="+mn-lt"/>
                    <a:ea typeface="+mn-ea"/>
                    <a:cs typeface="+mn-cs"/>
                  </a:defRPr>
                </a:pPr>
                <a:r>
                  <a:rPr lang="en-US">
                    <a:solidFill>
                      <a:srgbClr val="FF0000"/>
                    </a:solidFill>
                  </a:rPr>
                  <a:t>PORCENTAJE</a:t>
                </a:r>
              </a:p>
            </c:rich>
          </c:tx>
          <c:overlay val="0"/>
          <c:spPr>
            <a:noFill/>
            <a:ln>
              <a:noFill/>
            </a:ln>
            <a:effectLst/>
          </c:spPr>
          <c:txPr>
            <a:bodyPr rot="-5400000" spcFirstLastPara="1" vertOverflow="ellipsis" vert="horz" wrap="square" anchor="ctr" anchorCtr="1"/>
            <a:lstStyle/>
            <a:p>
              <a:pPr>
                <a:defRPr sz="1000" b="0" i="0" u="none" strike="noStrike" kern="1200" baseline="0">
                  <a:solidFill>
                    <a:srgbClr val="FF0000"/>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69597360"/>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rgbClr val="FF0000"/>
                </a:solidFill>
                <a:latin typeface="+mn-lt"/>
                <a:ea typeface="+mn-ea"/>
                <a:cs typeface="+mn-cs"/>
              </a:defRPr>
            </a:pPr>
            <a:r>
              <a:rPr lang="en-US" b="1">
                <a:solidFill>
                  <a:srgbClr val="FF0000"/>
                </a:solidFill>
              </a:rPr>
              <a:t>ESTADO DE EJECUCIÓN METAS PRODUCTO </a:t>
            </a:r>
          </a:p>
          <a:p>
            <a:pPr>
              <a:defRPr b="1">
                <a:solidFill>
                  <a:srgbClr val="FF0000"/>
                </a:solidFill>
              </a:defRPr>
            </a:pPr>
            <a:r>
              <a:rPr lang="en-US" b="1">
                <a:solidFill>
                  <a:srgbClr val="FF0000"/>
                </a:solidFill>
              </a:rPr>
              <a:t>SECRETARÍA DE PLANEACIÓN   </a:t>
            </a:r>
          </a:p>
          <a:p>
            <a:pPr>
              <a:defRPr b="1">
                <a:solidFill>
                  <a:srgbClr val="FF0000"/>
                </a:solidFill>
              </a:defRPr>
            </a:pPr>
            <a:r>
              <a:rPr lang="en-US" b="1">
                <a:solidFill>
                  <a:srgbClr val="FF0000"/>
                </a:solidFill>
              </a:rPr>
              <a:t>CON CORTE AL 30 DE SEPTIEMBRE DE 2016 </a:t>
            </a:r>
          </a:p>
        </c:rich>
      </c:tx>
      <c:overlay val="0"/>
      <c:spPr>
        <a:noFill/>
        <a:ln>
          <a:noFill/>
        </a:ln>
        <a:effectLst/>
      </c:spPr>
      <c:txPr>
        <a:bodyPr rot="0" spcFirstLastPara="1" vertOverflow="ellipsis" vert="horz" wrap="square" anchor="ctr" anchorCtr="1"/>
        <a:lstStyle/>
        <a:p>
          <a:pPr>
            <a:defRPr sz="1400" b="1" i="0" u="none" strike="noStrike" kern="1200" spc="0" baseline="0">
              <a:solidFill>
                <a:srgbClr val="FF0000"/>
              </a:solidFill>
              <a:latin typeface="+mn-lt"/>
              <a:ea typeface="+mn-ea"/>
              <a:cs typeface="+mn-cs"/>
            </a:defRPr>
          </a:pPr>
          <a:endParaRPr lang="es-CO"/>
        </a:p>
      </c:txPr>
    </c:title>
    <c:autoTitleDeleted val="0"/>
    <c:plotArea>
      <c:layout/>
      <c:barChart>
        <c:barDir val="col"/>
        <c:grouping val="clustered"/>
        <c:varyColors val="0"/>
        <c:ser>
          <c:idx val="0"/>
          <c:order val="0"/>
          <c:tx>
            <c:strRef>
              <c:f>Planeación!$E$34</c:f>
              <c:strCache>
                <c:ptCount val="1"/>
                <c:pt idx="0">
                  <c:v>NÚMERO DE METAS  PRODUCTO </c:v>
                </c:pt>
              </c:strCache>
            </c:strRef>
          </c:tx>
          <c:spPr>
            <a:solidFill>
              <a:schemeClr val="accent1"/>
            </a:solidFill>
            <a:ln>
              <a:noFill/>
            </a:ln>
            <a:effectLst/>
          </c:spPr>
          <c:invertIfNegative val="0"/>
          <c:cat>
            <c:strRef>
              <c:f>Planeación!$D$35:$D$38</c:f>
              <c:strCache>
                <c:ptCount val="4"/>
                <c:pt idx="0">
                  <c:v>S. VERDE ( 80%-100%) </c:v>
                </c:pt>
                <c:pt idx="1">
                  <c:v>S. AMARILLO (49%-79%)</c:v>
                </c:pt>
                <c:pt idx="2">
                  <c:v>S. ROJO ( 0-49%)</c:v>
                </c:pt>
                <c:pt idx="3">
                  <c:v>TOTAL </c:v>
                </c:pt>
              </c:strCache>
            </c:strRef>
          </c:cat>
          <c:val>
            <c:numRef>
              <c:f>Planeación!$E$35:$E$38</c:f>
              <c:numCache>
                <c:formatCode>0.00</c:formatCode>
                <c:ptCount val="4"/>
                <c:pt idx="0" formatCode="General">
                  <c:v>0</c:v>
                </c:pt>
                <c:pt idx="1">
                  <c:v>1</c:v>
                </c:pt>
                <c:pt idx="2">
                  <c:v>21</c:v>
                </c:pt>
                <c:pt idx="3" formatCode="General">
                  <c:v>22</c:v>
                </c:pt>
              </c:numCache>
            </c:numRef>
          </c:val>
          <c:extLst xmlns:c16r2="http://schemas.microsoft.com/office/drawing/2015/06/chart">
            <c:ext xmlns:c16="http://schemas.microsoft.com/office/drawing/2014/chart" uri="{C3380CC4-5D6E-409C-BE32-E72D297353CC}">
              <c16:uniqueId val="{00000000-C0DF-4FDC-9B7F-ED8353EE4096}"/>
            </c:ext>
          </c:extLst>
        </c:ser>
        <c:ser>
          <c:idx val="1"/>
          <c:order val="1"/>
          <c:tx>
            <c:strRef>
              <c:f>Planeación!$F$34</c:f>
              <c:strCache>
                <c:ptCount val="1"/>
                <c:pt idx="0">
                  <c:v>%</c:v>
                </c:pt>
              </c:strCache>
            </c:strRef>
          </c:tx>
          <c:spPr>
            <a:solidFill>
              <a:schemeClr val="accent2"/>
            </a:solidFill>
            <a:ln>
              <a:noFill/>
            </a:ln>
            <a:effectLst/>
          </c:spPr>
          <c:invertIfNegative val="0"/>
          <c:cat>
            <c:strRef>
              <c:f>Planeación!$D$35:$D$38</c:f>
              <c:strCache>
                <c:ptCount val="4"/>
                <c:pt idx="0">
                  <c:v>S. VERDE ( 80%-100%) </c:v>
                </c:pt>
                <c:pt idx="1">
                  <c:v>S. AMARILLO (49%-79%)</c:v>
                </c:pt>
                <c:pt idx="2">
                  <c:v>S. ROJO ( 0-49%)</c:v>
                </c:pt>
                <c:pt idx="3">
                  <c:v>TOTAL </c:v>
                </c:pt>
              </c:strCache>
            </c:strRef>
          </c:cat>
          <c:val>
            <c:numRef>
              <c:f>Planeación!$F$35:$F$38</c:f>
              <c:numCache>
                <c:formatCode>0.00</c:formatCode>
                <c:ptCount val="4"/>
                <c:pt idx="0" formatCode="General">
                  <c:v>0</c:v>
                </c:pt>
                <c:pt idx="1">
                  <c:v>4.5454545454545459</c:v>
                </c:pt>
                <c:pt idx="2">
                  <c:v>95.454545454545453</c:v>
                </c:pt>
                <c:pt idx="3">
                  <c:v>100</c:v>
                </c:pt>
              </c:numCache>
            </c:numRef>
          </c:val>
          <c:extLst xmlns:c16r2="http://schemas.microsoft.com/office/drawing/2015/06/chart">
            <c:ext xmlns:c16="http://schemas.microsoft.com/office/drawing/2014/chart" uri="{C3380CC4-5D6E-409C-BE32-E72D297353CC}">
              <c16:uniqueId val="{00000001-C0DF-4FDC-9B7F-ED8353EE4096}"/>
            </c:ext>
          </c:extLst>
        </c:ser>
        <c:dLbls>
          <c:showLegendKey val="0"/>
          <c:showVal val="0"/>
          <c:showCatName val="0"/>
          <c:showSerName val="0"/>
          <c:showPercent val="0"/>
          <c:showBubbleSize val="0"/>
        </c:dLbls>
        <c:gapWidth val="219"/>
        <c:overlap val="-27"/>
        <c:axId val="103770688"/>
        <c:axId val="103771248"/>
      </c:barChart>
      <c:catAx>
        <c:axId val="103770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3771248"/>
        <c:crosses val="autoZero"/>
        <c:auto val="1"/>
        <c:lblAlgn val="ctr"/>
        <c:lblOffset val="100"/>
        <c:noMultiLvlLbl val="0"/>
      </c:catAx>
      <c:valAx>
        <c:axId val="1037712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FF0000"/>
                    </a:solidFill>
                    <a:latin typeface="+mn-lt"/>
                    <a:ea typeface="+mn-ea"/>
                    <a:cs typeface="+mn-cs"/>
                  </a:defRPr>
                </a:pPr>
                <a:r>
                  <a:rPr lang="en-US">
                    <a:solidFill>
                      <a:srgbClr val="FF0000"/>
                    </a:solidFill>
                  </a:rPr>
                  <a:t>PORCENTAJE</a:t>
                </a:r>
              </a:p>
            </c:rich>
          </c:tx>
          <c:overlay val="0"/>
          <c:spPr>
            <a:noFill/>
            <a:ln>
              <a:noFill/>
            </a:ln>
            <a:effectLst/>
          </c:spPr>
          <c:txPr>
            <a:bodyPr rot="-5400000" spcFirstLastPara="1" vertOverflow="ellipsis" vert="horz" wrap="square" anchor="ctr" anchorCtr="1"/>
            <a:lstStyle/>
            <a:p>
              <a:pPr>
                <a:defRPr sz="1000" b="0" i="0" u="none" strike="noStrike" kern="1200" baseline="0">
                  <a:solidFill>
                    <a:srgbClr val="FF0000"/>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377068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FF0000"/>
                </a:solidFill>
                <a:latin typeface="+mn-lt"/>
                <a:ea typeface="+mn-ea"/>
                <a:cs typeface="+mn-cs"/>
              </a:defRPr>
            </a:pPr>
            <a:r>
              <a:rPr lang="en-US">
                <a:solidFill>
                  <a:srgbClr val="FF0000"/>
                </a:solidFill>
              </a:rPr>
              <a:t>ESTADO DE EJECUCIÓN METAS PRODUCTO SECRETARIA PRIVADA                                           CON CORTE A SEPTIEMBRE 30 DE 2016</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FF0000"/>
              </a:solidFill>
              <a:latin typeface="+mn-lt"/>
              <a:ea typeface="+mn-ea"/>
              <a:cs typeface="+mn-cs"/>
            </a:defRPr>
          </a:pPr>
          <a:endParaRPr lang="es-CO"/>
        </a:p>
      </c:txPr>
    </c:title>
    <c:autoTitleDeleted val="0"/>
    <c:plotArea>
      <c:layout/>
      <c:barChart>
        <c:barDir val="col"/>
        <c:grouping val="clustered"/>
        <c:varyColors val="0"/>
        <c:ser>
          <c:idx val="0"/>
          <c:order val="0"/>
          <c:tx>
            <c:strRef>
              <c:f>Privada!$E$14</c:f>
              <c:strCache>
                <c:ptCount val="1"/>
                <c:pt idx="0">
                  <c:v>NÚMERO DE METAS  PRODUCTO </c:v>
                </c:pt>
              </c:strCache>
            </c:strRef>
          </c:tx>
          <c:spPr>
            <a:solidFill>
              <a:schemeClr val="accent1"/>
            </a:solidFill>
            <a:ln>
              <a:noFill/>
            </a:ln>
            <a:effectLst/>
          </c:spPr>
          <c:invertIfNegative val="0"/>
          <c:cat>
            <c:strRef>
              <c:f>Privada!$D$15:$D$18</c:f>
              <c:strCache>
                <c:ptCount val="4"/>
                <c:pt idx="0">
                  <c:v>S. VERDE ( 80%-100%) </c:v>
                </c:pt>
                <c:pt idx="1">
                  <c:v>S. AMARILLO (49%-79%)</c:v>
                </c:pt>
                <c:pt idx="2">
                  <c:v>S. ROJO ( 0-49%)</c:v>
                </c:pt>
                <c:pt idx="3">
                  <c:v>TOTAL </c:v>
                </c:pt>
              </c:strCache>
            </c:strRef>
          </c:cat>
          <c:val>
            <c:numRef>
              <c:f>Privada!$E$15:$E$18</c:f>
              <c:numCache>
                <c:formatCode>General</c:formatCode>
                <c:ptCount val="4"/>
                <c:pt idx="0">
                  <c:v>0</c:v>
                </c:pt>
                <c:pt idx="1">
                  <c:v>0</c:v>
                </c:pt>
                <c:pt idx="2">
                  <c:v>2</c:v>
                </c:pt>
                <c:pt idx="3">
                  <c:v>2</c:v>
                </c:pt>
              </c:numCache>
            </c:numRef>
          </c:val>
          <c:extLst xmlns:c16r2="http://schemas.microsoft.com/office/drawing/2015/06/chart">
            <c:ext xmlns:c16="http://schemas.microsoft.com/office/drawing/2014/chart" uri="{C3380CC4-5D6E-409C-BE32-E72D297353CC}">
              <c16:uniqueId val="{00000000-3527-4146-8CA4-C72BF72E2FD2}"/>
            </c:ext>
          </c:extLst>
        </c:ser>
        <c:ser>
          <c:idx val="1"/>
          <c:order val="1"/>
          <c:tx>
            <c:strRef>
              <c:f>Privada!$F$14</c:f>
              <c:strCache>
                <c:ptCount val="1"/>
                <c:pt idx="0">
                  <c:v>%</c:v>
                </c:pt>
              </c:strCache>
            </c:strRef>
          </c:tx>
          <c:spPr>
            <a:solidFill>
              <a:schemeClr val="accent2"/>
            </a:solidFill>
            <a:ln>
              <a:noFill/>
            </a:ln>
            <a:effectLst/>
          </c:spPr>
          <c:invertIfNegative val="0"/>
          <c:cat>
            <c:strRef>
              <c:f>Privada!$D$15:$D$18</c:f>
              <c:strCache>
                <c:ptCount val="4"/>
                <c:pt idx="0">
                  <c:v>S. VERDE ( 80%-100%) </c:v>
                </c:pt>
                <c:pt idx="1">
                  <c:v>S. AMARILLO (49%-79%)</c:v>
                </c:pt>
                <c:pt idx="2">
                  <c:v>S. ROJO ( 0-49%)</c:v>
                </c:pt>
                <c:pt idx="3">
                  <c:v>TOTAL </c:v>
                </c:pt>
              </c:strCache>
            </c:strRef>
          </c:cat>
          <c:val>
            <c:numRef>
              <c:f>Privada!$F$15:$F$18</c:f>
              <c:numCache>
                <c:formatCode>General</c:formatCode>
                <c:ptCount val="4"/>
                <c:pt idx="0">
                  <c:v>0</c:v>
                </c:pt>
                <c:pt idx="1">
                  <c:v>0</c:v>
                </c:pt>
                <c:pt idx="2">
                  <c:v>100</c:v>
                </c:pt>
                <c:pt idx="3">
                  <c:v>100</c:v>
                </c:pt>
              </c:numCache>
            </c:numRef>
          </c:val>
          <c:extLst xmlns:c16r2="http://schemas.microsoft.com/office/drawing/2015/06/chart">
            <c:ext xmlns:c16="http://schemas.microsoft.com/office/drawing/2014/chart" uri="{C3380CC4-5D6E-409C-BE32-E72D297353CC}">
              <c16:uniqueId val="{00000001-3527-4146-8CA4-C72BF72E2FD2}"/>
            </c:ext>
          </c:extLst>
        </c:ser>
        <c:dLbls>
          <c:showLegendKey val="0"/>
          <c:showVal val="0"/>
          <c:showCatName val="0"/>
          <c:showSerName val="0"/>
          <c:showPercent val="0"/>
          <c:showBubbleSize val="0"/>
        </c:dLbls>
        <c:gapWidth val="219"/>
        <c:overlap val="-27"/>
        <c:axId val="103775168"/>
        <c:axId val="103775728"/>
      </c:barChart>
      <c:catAx>
        <c:axId val="1037751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3775728"/>
        <c:crosses val="autoZero"/>
        <c:auto val="1"/>
        <c:lblAlgn val="ctr"/>
        <c:lblOffset val="100"/>
        <c:noMultiLvlLbl val="0"/>
      </c:catAx>
      <c:valAx>
        <c:axId val="103775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rgbClr val="FF0000"/>
                    </a:solidFill>
                    <a:latin typeface="+mn-lt"/>
                    <a:ea typeface="+mn-ea"/>
                    <a:cs typeface="+mn-cs"/>
                  </a:defRPr>
                </a:pPr>
                <a:r>
                  <a:rPr lang="en-US">
                    <a:solidFill>
                      <a:srgbClr val="FF0000"/>
                    </a:solidFill>
                  </a:rPr>
                  <a:t>PORCENTAJE</a:t>
                </a:r>
              </a:p>
            </c:rich>
          </c:tx>
          <c:overlay val="0"/>
          <c:spPr>
            <a:noFill/>
            <a:ln>
              <a:noFill/>
            </a:ln>
            <a:effectLst/>
          </c:spPr>
          <c:txPr>
            <a:bodyPr rot="-5400000" spcFirstLastPara="1" vertOverflow="ellipsis" vert="horz" wrap="square" anchor="ctr" anchorCtr="1"/>
            <a:lstStyle/>
            <a:p>
              <a:pPr>
                <a:defRPr sz="1000" b="0" i="0" u="none" strike="noStrike" kern="1200" baseline="0">
                  <a:solidFill>
                    <a:srgbClr val="FF0000"/>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3775168"/>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rgbClr val="FF0000"/>
                </a:solidFill>
                <a:latin typeface="+mn-lt"/>
                <a:ea typeface="+mn-ea"/>
                <a:cs typeface="+mn-cs"/>
              </a:defRPr>
            </a:pPr>
            <a:r>
              <a:rPr lang="en-US">
                <a:solidFill>
                  <a:srgbClr val="FF0000"/>
                </a:solidFill>
              </a:rPr>
              <a:t>ESTADO DE EJECUCIÓN METAS PRODUCTO PLAN DE DESARROLLO                    SECRETARIA DE CULTURA                                                                                                       CON CORTE A SEPTIEMBRE 30 DE 2016</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FF0000"/>
              </a:solidFill>
              <a:latin typeface="+mn-lt"/>
              <a:ea typeface="+mn-ea"/>
              <a:cs typeface="+mn-cs"/>
            </a:defRPr>
          </a:pPr>
          <a:endParaRPr lang="es-CO"/>
        </a:p>
      </c:txPr>
    </c:title>
    <c:autoTitleDeleted val="0"/>
    <c:plotArea>
      <c:layout/>
      <c:barChart>
        <c:barDir val="col"/>
        <c:grouping val="clustered"/>
        <c:varyColors val="0"/>
        <c:ser>
          <c:idx val="0"/>
          <c:order val="0"/>
          <c:tx>
            <c:strRef>
              <c:f>Cultura!$E$22</c:f>
              <c:strCache>
                <c:ptCount val="1"/>
                <c:pt idx="0">
                  <c:v>NÚMERO DE METAS  PRODUCTO </c:v>
                </c:pt>
              </c:strCache>
            </c:strRef>
          </c:tx>
          <c:spPr>
            <a:solidFill>
              <a:schemeClr val="accent1"/>
            </a:solidFill>
            <a:ln>
              <a:noFill/>
            </a:ln>
            <a:effectLst/>
          </c:spPr>
          <c:invertIfNegative val="0"/>
          <c:cat>
            <c:strRef>
              <c:f>Cultura!$D$23:$D$26</c:f>
              <c:strCache>
                <c:ptCount val="4"/>
                <c:pt idx="0">
                  <c:v>S. VERDE ( 80%-100%) </c:v>
                </c:pt>
                <c:pt idx="1">
                  <c:v>S. AMARILLO (49%-79%)</c:v>
                </c:pt>
                <c:pt idx="2">
                  <c:v>S. ROJO ( 0-49%)</c:v>
                </c:pt>
                <c:pt idx="3">
                  <c:v>TOTAL </c:v>
                </c:pt>
              </c:strCache>
            </c:strRef>
          </c:cat>
          <c:val>
            <c:numRef>
              <c:f>Cultura!$E$23:$E$26</c:f>
              <c:numCache>
                <c:formatCode>General</c:formatCode>
                <c:ptCount val="4"/>
                <c:pt idx="0">
                  <c:v>0</c:v>
                </c:pt>
                <c:pt idx="1">
                  <c:v>0</c:v>
                </c:pt>
                <c:pt idx="2">
                  <c:v>8</c:v>
                </c:pt>
                <c:pt idx="3">
                  <c:v>8</c:v>
                </c:pt>
              </c:numCache>
            </c:numRef>
          </c:val>
          <c:extLst xmlns:c16r2="http://schemas.microsoft.com/office/drawing/2015/06/chart">
            <c:ext xmlns:c16="http://schemas.microsoft.com/office/drawing/2014/chart" uri="{C3380CC4-5D6E-409C-BE32-E72D297353CC}">
              <c16:uniqueId val="{00000000-8623-46EC-9E37-C8595359CEF5}"/>
            </c:ext>
          </c:extLst>
        </c:ser>
        <c:ser>
          <c:idx val="1"/>
          <c:order val="1"/>
          <c:tx>
            <c:strRef>
              <c:f>Cultura!$F$22</c:f>
              <c:strCache>
                <c:ptCount val="1"/>
                <c:pt idx="0">
                  <c:v>%</c:v>
                </c:pt>
              </c:strCache>
            </c:strRef>
          </c:tx>
          <c:spPr>
            <a:solidFill>
              <a:schemeClr val="accent2"/>
            </a:solidFill>
            <a:ln>
              <a:noFill/>
            </a:ln>
            <a:effectLst/>
          </c:spPr>
          <c:invertIfNegative val="0"/>
          <c:cat>
            <c:strRef>
              <c:f>Cultura!$D$23:$D$26</c:f>
              <c:strCache>
                <c:ptCount val="4"/>
                <c:pt idx="0">
                  <c:v>S. VERDE ( 80%-100%) </c:v>
                </c:pt>
                <c:pt idx="1">
                  <c:v>S. AMARILLO (49%-79%)</c:v>
                </c:pt>
                <c:pt idx="2">
                  <c:v>S. ROJO ( 0-49%)</c:v>
                </c:pt>
                <c:pt idx="3">
                  <c:v>TOTAL </c:v>
                </c:pt>
              </c:strCache>
            </c:strRef>
          </c:cat>
          <c:val>
            <c:numRef>
              <c:f>Cultura!$F$23:$F$26</c:f>
              <c:numCache>
                <c:formatCode>General</c:formatCode>
                <c:ptCount val="4"/>
                <c:pt idx="0">
                  <c:v>0</c:v>
                </c:pt>
                <c:pt idx="1">
                  <c:v>0</c:v>
                </c:pt>
                <c:pt idx="2">
                  <c:v>100</c:v>
                </c:pt>
                <c:pt idx="3">
                  <c:v>100</c:v>
                </c:pt>
              </c:numCache>
            </c:numRef>
          </c:val>
          <c:extLst xmlns:c16r2="http://schemas.microsoft.com/office/drawing/2015/06/chart">
            <c:ext xmlns:c16="http://schemas.microsoft.com/office/drawing/2014/chart" uri="{C3380CC4-5D6E-409C-BE32-E72D297353CC}">
              <c16:uniqueId val="{00000001-8623-46EC-9E37-C8595359CEF5}"/>
            </c:ext>
          </c:extLst>
        </c:ser>
        <c:dLbls>
          <c:showLegendKey val="0"/>
          <c:showVal val="0"/>
          <c:showCatName val="0"/>
          <c:showSerName val="0"/>
          <c:showPercent val="0"/>
          <c:showBubbleSize val="0"/>
        </c:dLbls>
        <c:gapWidth val="219"/>
        <c:overlap val="-27"/>
        <c:axId val="170085504"/>
        <c:axId val="170086064"/>
      </c:barChart>
      <c:catAx>
        <c:axId val="170085504"/>
        <c:scaling>
          <c:orientation val="minMax"/>
        </c:scaling>
        <c:delete val="0"/>
        <c:axPos val="b"/>
        <c:title>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086064"/>
        <c:crosses val="autoZero"/>
        <c:auto val="1"/>
        <c:lblAlgn val="ctr"/>
        <c:lblOffset val="100"/>
        <c:noMultiLvlLbl val="0"/>
      </c:catAx>
      <c:valAx>
        <c:axId val="17008606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solidFill>
                      <a:srgbClr val="FF0000"/>
                    </a:solidFill>
                  </a:rPr>
                  <a:t>PORCENTAJE</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70085504"/>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748393</xdr:colOff>
      <xdr:row>10</xdr:row>
      <xdr:rowOff>356504</xdr:rowOff>
    </xdr:from>
    <xdr:to>
      <xdr:col>12</xdr:col>
      <xdr:colOff>650875</xdr:colOff>
      <xdr:row>36</xdr:row>
      <xdr:rowOff>149677</xdr:rowOff>
    </xdr:to>
    <xdr:graphicFrame macro="">
      <xdr:nvGraphicFramePr>
        <xdr:cNvPr id="2" name="Gráfico 1">
          <a:extLst>
            <a:ext uri="{FF2B5EF4-FFF2-40B4-BE49-F238E27FC236}">
              <a16:creationId xmlns:a16="http://schemas.microsoft.com/office/drawing/2014/main" xmlns="" id="{013318BF-BF23-46D5-89EC-B708D2F3160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654843</xdr:colOff>
      <xdr:row>62</xdr:row>
      <xdr:rowOff>188117</xdr:rowOff>
    </xdr:from>
    <xdr:to>
      <xdr:col>15</xdr:col>
      <xdr:colOff>238124</xdr:colOff>
      <xdr:row>77</xdr:row>
      <xdr:rowOff>166686</xdr:rowOff>
    </xdr:to>
    <xdr:graphicFrame macro="">
      <xdr:nvGraphicFramePr>
        <xdr:cNvPr id="2" name="Gráfico 1">
          <a:extLst>
            <a:ext uri="{FF2B5EF4-FFF2-40B4-BE49-F238E27FC236}">
              <a16:creationId xmlns:a16="http://schemas.microsoft.com/office/drawing/2014/main" xmlns="" id="{165A995B-4CB7-464A-936B-57D41A4711F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9</xdr:col>
      <xdr:colOff>1103311</xdr:colOff>
      <xdr:row>42</xdr:row>
      <xdr:rowOff>25399</xdr:rowOff>
    </xdr:from>
    <xdr:to>
      <xdr:col>13</xdr:col>
      <xdr:colOff>404812</xdr:colOff>
      <xdr:row>60</xdr:row>
      <xdr:rowOff>142875</xdr:rowOff>
    </xdr:to>
    <xdr:graphicFrame macro="">
      <xdr:nvGraphicFramePr>
        <xdr:cNvPr id="2" name="Gráfico 1">
          <a:extLst>
            <a:ext uri="{FF2B5EF4-FFF2-40B4-BE49-F238E27FC236}">
              <a16:creationId xmlns:a16="http://schemas.microsoft.com/office/drawing/2014/main" xmlns="" id="{6469B0EC-301A-4652-834D-5994695175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30</xdr:row>
      <xdr:rowOff>158750</xdr:rowOff>
    </xdr:from>
    <xdr:to>
      <xdr:col>12</xdr:col>
      <xdr:colOff>1873250</xdr:colOff>
      <xdr:row>60</xdr:row>
      <xdr:rowOff>142875</xdr:rowOff>
    </xdr:to>
    <xdr:graphicFrame macro="">
      <xdr:nvGraphicFramePr>
        <xdr:cNvPr id="2" name="Gráfico 1">
          <a:extLst>
            <a:ext uri="{FF2B5EF4-FFF2-40B4-BE49-F238E27FC236}">
              <a16:creationId xmlns:a16="http://schemas.microsoft.com/office/drawing/2014/main" xmlns="" id="{BBD1C5B1-64AC-4035-9076-22EEF5D607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1873249</xdr:colOff>
      <xdr:row>30</xdr:row>
      <xdr:rowOff>73025</xdr:rowOff>
    </xdr:from>
    <xdr:to>
      <xdr:col>13</xdr:col>
      <xdr:colOff>507999</xdr:colOff>
      <xdr:row>60</xdr:row>
      <xdr:rowOff>47625</xdr:rowOff>
    </xdr:to>
    <xdr:graphicFrame macro="">
      <xdr:nvGraphicFramePr>
        <xdr:cNvPr id="2" name="Gráfico 1">
          <a:extLst>
            <a:ext uri="{FF2B5EF4-FFF2-40B4-BE49-F238E27FC236}">
              <a16:creationId xmlns:a16="http://schemas.microsoft.com/office/drawing/2014/main" xmlns="" id="{9C10E0F8-907D-46F7-95A9-917A260E35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206375</xdr:colOff>
      <xdr:row>26</xdr:row>
      <xdr:rowOff>41275</xdr:rowOff>
    </xdr:from>
    <xdr:to>
      <xdr:col>12</xdr:col>
      <xdr:colOff>1254125</xdr:colOff>
      <xdr:row>53</xdr:row>
      <xdr:rowOff>117475</xdr:rowOff>
    </xdr:to>
    <xdr:graphicFrame macro="">
      <xdr:nvGraphicFramePr>
        <xdr:cNvPr id="2" name="Gráfico 1">
          <a:extLst>
            <a:ext uri="{FF2B5EF4-FFF2-40B4-BE49-F238E27FC236}">
              <a16:creationId xmlns:a16="http://schemas.microsoft.com/office/drawing/2014/main" xmlns="" id="{865396E5-022B-495E-B5CB-5F56000513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9</xdr:col>
      <xdr:colOff>59530</xdr:colOff>
      <xdr:row>13</xdr:row>
      <xdr:rowOff>9525</xdr:rowOff>
    </xdr:from>
    <xdr:to>
      <xdr:col>13</xdr:col>
      <xdr:colOff>428624</xdr:colOff>
      <xdr:row>31</xdr:row>
      <xdr:rowOff>142875</xdr:rowOff>
    </xdr:to>
    <xdr:graphicFrame macro="">
      <xdr:nvGraphicFramePr>
        <xdr:cNvPr id="2" name="Gráfico 1">
          <a:extLst>
            <a:ext uri="{FF2B5EF4-FFF2-40B4-BE49-F238E27FC236}">
              <a16:creationId xmlns:a16="http://schemas.microsoft.com/office/drawing/2014/main" xmlns="" id="{2880F771-72A2-416E-9AB5-4007B4F4F6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xdr:col>
      <xdr:colOff>254000</xdr:colOff>
      <xdr:row>17</xdr:row>
      <xdr:rowOff>41275</xdr:rowOff>
    </xdr:from>
    <xdr:to>
      <xdr:col>13</xdr:col>
      <xdr:colOff>444500</xdr:colOff>
      <xdr:row>37</xdr:row>
      <xdr:rowOff>79375</xdr:rowOff>
    </xdr:to>
    <xdr:graphicFrame macro="">
      <xdr:nvGraphicFramePr>
        <xdr:cNvPr id="2" name="Gráfico 1">
          <a:extLst>
            <a:ext uri="{FF2B5EF4-FFF2-40B4-BE49-F238E27FC236}">
              <a16:creationId xmlns:a16="http://schemas.microsoft.com/office/drawing/2014/main" xmlns="" id="{B84983BF-A9AD-4966-939C-E7AA83E87D2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301625</xdr:colOff>
      <xdr:row>33</xdr:row>
      <xdr:rowOff>533400</xdr:rowOff>
    </xdr:from>
    <xdr:to>
      <xdr:col>13</xdr:col>
      <xdr:colOff>1190625</xdr:colOff>
      <xdr:row>57</xdr:row>
      <xdr:rowOff>15875</xdr:rowOff>
    </xdr:to>
    <xdr:graphicFrame macro="">
      <xdr:nvGraphicFramePr>
        <xdr:cNvPr id="2" name="Gráfico 1">
          <a:extLst>
            <a:ext uri="{FF2B5EF4-FFF2-40B4-BE49-F238E27FC236}">
              <a16:creationId xmlns:a16="http://schemas.microsoft.com/office/drawing/2014/main" xmlns="" id="{89087C4B-58C6-46DC-A988-13140EC1D9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777874</xdr:colOff>
      <xdr:row>13</xdr:row>
      <xdr:rowOff>25400</xdr:rowOff>
    </xdr:from>
    <xdr:to>
      <xdr:col>12</xdr:col>
      <xdr:colOff>1587499</xdr:colOff>
      <xdr:row>30</xdr:row>
      <xdr:rowOff>63500</xdr:rowOff>
    </xdr:to>
    <xdr:graphicFrame macro="">
      <xdr:nvGraphicFramePr>
        <xdr:cNvPr id="2" name="Gráfico 1">
          <a:extLst>
            <a:ext uri="{FF2B5EF4-FFF2-40B4-BE49-F238E27FC236}">
              <a16:creationId xmlns:a16="http://schemas.microsoft.com/office/drawing/2014/main" xmlns="" id="{744B431B-6501-4BD7-A756-BE07DB951C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9</xdr:col>
      <xdr:colOff>47625</xdr:colOff>
      <xdr:row>21</xdr:row>
      <xdr:rowOff>215899</xdr:rowOff>
    </xdr:from>
    <xdr:to>
      <xdr:col>12</xdr:col>
      <xdr:colOff>1682750</xdr:colOff>
      <xdr:row>38</xdr:row>
      <xdr:rowOff>31749</xdr:rowOff>
    </xdr:to>
    <xdr:graphicFrame macro="">
      <xdr:nvGraphicFramePr>
        <xdr:cNvPr id="2" name="Gráfico 1">
          <a:extLst>
            <a:ext uri="{FF2B5EF4-FFF2-40B4-BE49-F238E27FC236}">
              <a16:creationId xmlns:a16="http://schemas.microsoft.com/office/drawing/2014/main" xmlns="" id="{A24BB4BE-C142-4BD9-88DD-16B89E05E5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GTO%20PDD%20SEP-30-2016/ANEXOS/GRAFICAS%20GASTOS%20SEP%2030-2016/PROYECTOS%20EDUC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TOS "/>
      <sheetName val="METAS PRODUCTO "/>
    </sheetNames>
    <sheetDataSet>
      <sheetData sheetId="0"/>
      <sheetData sheetId="1">
        <row r="64">
          <cell r="I64" t="str">
            <v xml:space="preserve">NÚMERO DE METAS  PRODUCTO </v>
          </cell>
        </row>
        <row r="65">
          <cell r="H65" t="str">
            <v xml:space="preserve">S. VERDE ( 80%-100%) </v>
          </cell>
          <cell r="I65">
            <v>19</v>
          </cell>
        </row>
        <row r="66">
          <cell r="H66" t="str">
            <v>S. AMARILLO (49%-79%)</v>
          </cell>
          <cell r="I66">
            <v>4</v>
          </cell>
        </row>
        <row r="67">
          <cell r="H67" t="str">
            <v>S. ROJO ( 0-49%)</v>
          </cell>
          <cell r="I67">
            <v>30</v>
          </cell>
        </row>
        <row r="68">
          <cell r="H68" t="str">
            <v xml:space="preserve">TOTAL </v>
          </cell>
          <cell r="I68">
            <v>53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15"/>
  <sheetViews>
    <sheetView tabSelected="1" zoomScale="70" zoomScaleNormal="70" workbookViewId="0">
      <selection activeCell="K7" sqref="K7"/>
    </sheetView>
  </sheetViews>
  <sheetFormatPr baseColWidth="10" defaultRowHeight="15" x14ac:dyDescent="0.25"/>
  <cols>
    <col min="2" max="2" width="23.140625" customWidth="1"/>
    <col min="4" max="4" width="28.7109375" customWidth="1"/>
    <col min="8" max="8" width="19.140625" hidden="1" customWidth="1"/>
    <col min="9" max="9" width="32.7109375" hidden="1" customWidth="1"/>
    <col min="10" max="10" width="25.42578125" customWidth="1"/>
    <col min="11" max="11" width="27.28515625" customWidth="1"/>
    <col min="12" max="12" width="30.42578125" customWidth="1"/>
    <col min="13" max="13" width="25.5703125" customWidth="1"/>
  </cols>
  <sheetData>
    <row r="2" spans="2:13" s="2" customFormat="1" ht="18.75" x14ac:dyDescent="0.3">
      <c r="B2" s="236" t="s">
        <v>0</v>
      </c>
      <c r="C2" s="236"/>
      <c r="D2" s="236"/>
      <c r="E2" s="236"/>
      <c r="F2" s="236"/>
      <c r="G2" s="236"/>
      <c r="H2" s="236"/>
      <c r="I2" s="236"/>
      <c r="J2" s="236"/>
      <c r="K2" s="236"/>
      <c r="L2" s="236"/>
      <c r="M2" s="236"/>
    </row>
    <row r="3" spans="2:13" s="2" customFormat="1" ht="18.75" x14ac:dyDescent="0.3">
      <c r="B3" s="236" t="s">
        <v>451</v>
      </c>
      <c r="C3" s="236"/>
      <c r="D3" s="236"/>
      <c r="E3" s="236"/>
      <c r="F3" s="236"/>
      <c r="G3" s="236"/>
      <c r="H3" s="236"/>
      <c r="I3" s="236"/>
      <c r="J3" s="236"/>
      <c r="K3" s="236"/>
      <c r="L3" s="236"/>
      <c r="M3" s="236"/>
    </row>
    <row r="4" spans="2:13" s="2" customFormat="1" ht="18.75" x14ac:dyDescent="0.3">
      <c r="B4" s="236" t="s">
        <v>2</v>
      </c>
      <c r="C4" s="236"/>
      <c r="D4" s="236"/>
      <c r="E4" s="236"/>
      <c r="F4" s="236"/>
      <c r="G4" s="236"/>
      <c r="H4" s="236"/>
      <c r="I4" s="236"/>
      <c r="J4" s="236"/>
      <c r="K4" s="236"/>
      <c r="L4" s="236"/>
      <c r="M4" s="236"/>
    </row>
    <row r="5" spans="2:13" x14ac:dyDescent="0.25">
      <c r="B5" s="4"/>
      <c r="J5" s="5"/>
      <c r="K5" s="5"/>
      <c r="L5" s="5"/>
    </row>
    <row r="6" spans="2:13" ht="102.75" customHeight="1" x14ac:dyDescent="0.25">
      <c r="B6" s="6" t="s">
        <v>3</v>
      </c>
      <c r="C6" s="7" t="s">
        <v>4</v>
      </c>
      <c r="D6" s="7" t="s">
        <v>5</v>
      </c>
      <c r="E6" s="7" t="s">
        <v>6</v>
      </c>
      <c r="F6" s="7" t="s">
        <v>7</v>
      </c>
      <c r="G6" s="7" t="s">
        <v>8</v>
      </c>
      <c r="H6" s="7" t="s">
        <v>9</v>
      </c>
      <c r="I6" s="7" t="s">
        <v>10</v>
      </c>
      <c r="J6" s="6" t="s">
        <v>11</v>
      </c>
      <c r="K6" s="7" t="s">
        <v>12</v>
      </c>
      <c r="L6" s="7" t="s">
        <v>13</v>
      </c>
      <c r="M6" s="8" t="s">
        <v>14</v>
      </c>
    </row>
    <row r="7" spans="2:13" ht="99.75" x14ac:dyDescent="0.25">
      <c r="B7" s="9">
        <v>1</v>
      </c>
      <c r="C7" s="10">
        <v>243</v>
      </c>
      <c r="D7" s="11" t="s">
        <v>452</v>
      </c>
      <c r="E7" s="12" t="s">
        <v>16</v>
      </c>
      <c r="F7" s="13">
        <v>2</v>
      </c>
      <c r="G7" s="71">
        <v>1</v>
      </c>
      <c r="H7" s="15" t="s">
        <v>453</v>
      </c>
      <c r="I7" s="41" t="s">
        <v>454</v>
      </c>
      <c r="J7" s="146">
        <f>48000000+52000000</f>
        <v>100000000</v>
      </c>
      <c r="K7" s="18">
        <f>44800000+38150000</f>
        <v>82950000</v>
      </c>
      <c r="L7" s="18">
        <v>44800000</v>
      </c>
      <c r="M7" s="235">
        <f>+G7/F7*100</f>
        <v>50</v>
      </c>
    </row>
    <row r="11" spans="2:13" ht="45" x14ac:dyDescent="0.25">
      <c r="D11" s="20" t="s">
        <v>22</v>
      </c>
      <c r="E11" s="21" t="s">
        <v>23</v>
      </c>
      <c r="F11" s="22" t="s">
        <v>24</v>
      </c>
      <c r="H11" s="234"/>
    </row>
    <row r="12" spans="2:13" x14ac:dyDescent="0.25">
      <c r="D12" s="24" t="s">
        <v>25</v>
      </c>
      <c r="E12" s="9">
        <v>0</v>
      </c>
      <c r="F12" s="9">
        <f>+E12/$E$15*100</f>
        <v>0</v>
      </c>
      <c r="H12" s="203"/>
    </row>
    <row r="13" spans="2:13" x14ac:dyDescent="0.25">
      <c r="D13" s="24" t="s">
        <v>26</v>
      </c>
      <c r="E13" s="9">
        <v>1</v>
      </c>
      <c r="F13" s="9">
        <f t="shared" ref="F13:F15" si="0">+E13/$E$15*100</f>
        <v>100</v>
      </c>
      <c r="H13" s="203"/>
    </row>
    <row r="14" spans="2:13" x14ac:dyDescent="0.25">
      <c r="D14" s="24" t="s">
        <v>27</v>
      </c>
      <c r="E14" s="9">
        <v>0</v>
      </c>
      <c r="F14" s="9">
        <f t="shared" si="0"/>
        <v>0</v>
      </c>
      <c r="H14" s="203"/>
    </row>
    <row r="15" spans="2:13" x14ac:dyDescent="0.25">
      <c r="D15" s="79" t="s">
        <v>28</v>
      </c>
      <c r="E15" s="51">
        <f>SUM(E12:E14)</f>
        <v>1</v>
      </c>
      <c r="F15" s="9">
        <f t="shared" si="0"/>
        <v>100</v>
      </c>
      <c r="H15" s="203"/>
    </row>
  </sheetData>
  <sheetProtection algorithmName="SHA-512" hashValue="YBcv5D84dkvXNuclZJdXrxXP1kSvfAmdRIZxGRmNlAbQQ4V5ygdaDVNCC72Z74AkaY6oMSMGtLelre/TYJHWhA==" saltValue="XNsi3bGBoIuX2lEHUsKhBg==" spinCount="100000" sheet="1" objects="1" scenarios="1"/>
  <mergeCells count="3">
    <mergeCell ref="B2:M2"/>
    <mergeCell ref="B3:M3"/>
    <mergeCell ref="B4:M4"/>
  </mergeCells>
  <pageMargins left="0.7" right="0.7" top="0.75" bottom="0.75" header="0.3" footer="0.3"/>
  <pageSetup scale="4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8"/>
  <sheetViews>
    <sheetView view="pageBreakPreview" zoomScale="60" zoomScaleNormal="60" workbookViewId="0">
      <selection activeCell="E24" sqref="E24"/>
    </sheetView>
  </sheetViews>
  <sheetFormatPr baseColWidth="10" defaultRowHeight="15" x14ac:dyDescent="0.25"/>
  <cols>
    <col min="2" max="2" width="20.42578125" customWidth="1"/>
    <col min="4" max="4" width="32.7109375" customWidth="1"/>
    <col min="5" max="5" width="20.85546875" customWidth="1"/>
    <col min="6" max="6" width="22.42578125" customWidth="1"/>
    <col min="7" max="7" width="20.7109375" customWidth="1"/>
    <col min="8" max="8" width="22.28515625" hidden="1" customWidth="1"/>
    <col min="9" max="9" width="23.42578125" hidden="1" customWidth="1"/>
    <col min="10" max="10" width="17.85546875" bestFit="1" customWidth="1"/>
    <col min="11" max="11" width="30.7109375" customWidth="1"/>
    <col min="12" max="12" width="25.42578125" customWidth="1"/>
    <col min="13" max="13" width="26.28515625" customWidth="1"/>
  </cols>
  <sheetData>
    <row r="1" spans="2:13" s="2" customFormat="1" ht="18.75" x14ac:dyDescent="0.3">
      <c r="B1" s="1"/>
      <c r="J1" s="3"/>
      <c r="K1" s="3"/>
      <c r="L1" s="3"/>
    </row>
    <row r="2" spans="2:13" s="2" customFormat="1" ht="18.75" x14ac:dyDescent="0.3">
      <c r="B2" s="236" t="s">
        <v>0</v>
      </c>
      <c r="C2" s="236"/>
      <c r="D2" s="236"/>
      <c r="E2" s="236"/>
      <c r="F2" s="236"/>
      <c r="G2" s="236"/>
      <c r="H2" s="236"/>
      <c r="I2" s="236"/>
      <c r="J2" s="236"/>
      <c r="K2" s="236"/>
      <c r="L2" s="236"/>
      <c r="M2" s="236"/>
    </row>
    <row r="3" spans="2:13" s="2" customFormat="1" ht="18.75" x14ac:dyDescent="0.3">
      <c r="B3" s="236" t="s">
        <v>1</v>
      </c>
      <c r="C3" s="236"/>
      <c r="D3" s="236"/>
      <c r="E3" s="236"/>
      <c r="F3" s="236"/>
      <c r="G3" s="236"/>
      <c r="H3" s="236"/>
      <c r="I3" s="236"/>
      <c r="J3" s="236"/>
      <c r="K3" s="236"/>
      <c r="L3" s="236"/>
      <c r="M3" s="236"/>
    </row>
    <row r="4" spans="2:13" s="2" customFormat="1" ht="18.75" x14ac:dyDescent="0.3">
      <c r="B4" s="236" t="s">
        <v>2</v>
      </c>
      <c r="C4" s="236"/>
      <c r="D4" s="236"/>
      <c r="E4" s="236"/>
      <c r="F4" s="236"/>
      <c r="G4" s="236"/>
      <c r="H4" s="236"/>
      <c r="I4" s="236"/>
      <c r="J4" s="236"/>
      <c r="K4" s="236"/>
      <c r="L4" s="236"/>
      <c r="M4" s="236"/>
    </row>
    <row r="5" spans="2:13" x14ac:dyDescent="0.25">
      <c r="B5" s="4"/>
      <c r="J5" s="5"/>
      <c r="K5" s="5"/>
      <c r="L5" s="5"/>
    </row>
    <row r="6" spans="2:13" ht="93.75" customHeight="1" x14ac:dyDescent="0.25">
      <c r="B6" s="6" t="s">
        <v>3</v>
      </c>
      <c r="C6" s="7" t="s">
        <v>4</v>
      </c>
      <c r="D6" s="7" t="s">
        <v>5</v>
      </c>
      <c r="E6" s="7" t="s">
        <v>6</v>
      </c>
      <c r="F6" s="7" t="s">
        <v>7</v>
      </c>
      <c r="G6" s="7" t="s">
        <v>8</v>
      </c>
      <c r="H6" s="7" t="s">
        <v>9</v>
      </c>
      <c r="I6" s="7" t="s">
        <v>10</v>
      </c>
      <c r="J6" s="6" t="s">
        <v>11</v>
      </c>
      <c r="K6" s="7" t="s">
        <v>12</v>
      </c>
      <c r="L6" s="7" t="s">
        <v>13</v>
      </c>
      <c r="M6" s="8" t="s">
        <v>14</v>
      </c>
    </row>
    <row r="7" spans="2:13" ht="114" x14ac:dyDescent="0.25">
      <c r="B7" s="9">
        <v>1</v>
      </c>
      <c r="C7" s="10">
        <v>244</v>
      </c>
      <c r="D7" s="11" t="s">
        <v>15</v>
      </c>
      <c r="E7" s="12" t="s">
        <v>16</v>
      </c>
      <c r="F7" s="13">
        <v>4</v>
      </c>
      <c r="G7" s="14"/>
      <c r="H7" s="15" t="s">
        <v>17</v>
      </c>
      <c r="I7" s="11" t="s">
        <v>18</v>
      </c>
      <c r="J7" s="16">
        <v>40000000</v>
      </c>
      <c r="K7" s="17">
        <v>0</v>
      </c>
      <c r="L7" s="18">
        <v>0</v>
      </c>
      <c r="M7" s="19">
        <v>0</v>
      </c>
    </row>
    <row r="8" spans="2:13" ht="85.5" x14ac:dyDescent="0.25">
      <c r="B8" s="9">
        <v>2</v>
      </c>
      <c r="C8" s="10">
        <v>245</v>
      </c>
      <c r="D8" s="11" t="s">
        <v>19</v>
      </c>
      <c r="E8" s="12" t="s">
        <v>16</v>
      </c>
      <c r="F8" s="13">
        <v>1</v>
      </c>
      <c r="G8" s="14"/>
      <c r="H8" s="15" t="s">
        <v>20</v>
      </c>
      <c r="I8" s="11" t="s">
        <v>21</v>
      </c>
      <c r="J8" s="16">
        <v>180000000</v>
      </c>
      <c r="K8" s="17">
        <v>0</v>
      </c>
      <c r="L8" s="18">
        <v>0</v>
      </c>
      <c r="M8" s="19">
        <v>0</v>
      </c>
    </row>
    <row r="14" spans="2:13" ht="30" x14ac:dyDescent="0.25">
      <c r="D14" s="20" t="s">
        <v>22</v>
      </c>
      <c r="E14" s="21" t="s">
        <v>23</v>
      </c>
      <c r="F14" s="22" t="s">
        <v>24</v>
      </c>
      <c r="H14" s="23" t="s">
        <v>24</v>
      </c>
    </row>
    <row r="15" spans="2:13" x14ac:dyDescent="0.25">
      <c r="D15" s="24" t="s">
        <v>25</v>
      </c>
      <c r="E15" s="9">
        <v>0</v>
      </c>
      <c r="F15" s="9">
        <f>+E15/$E$18*100</f>
        <v>0</v>
      </c>
      <c r="H15" s="25" t="e">
        <f>+E15/$G$22*100</f>
        <v>#DIV/0!</v>
      </c>
    </row>
    <row r="16" spans="2:13" x14ac:dyDescent="0.25">
      <c r="D16" s="24" t="s">
        <v>26</v>
      </c>
      <c r="E16" s="9">
        <v>0</v>
      </c>
      <c r="F16" s="9">
        <f t="shared" ref="F16:F18" si="0">+E16/$E$18*100</f>
        <v>0</v>
      </c>
      <c r="H16" s="25" t="e">
        <f t="shared" ref="H16:H18" si="1">+E16/$G$22*100</f>
        <v>#DIV/0!</v>
      </c>
    </row>
    <row r="17" spans="4:8" x14ac:dyDescent="0.25">
      <c r="D17" s="26" t="s">
        <v>27</v>
      </c>
      <c r="E17" s="27">
        <v>2</v>
      </c>
      <c r="F17" s="27">
        <f t="shared" si="0"/>
        <v>100</v>
      </c>
      <c r="H17" s="25" t="e">
        <f t="shared" si="1"/>
        <v>#DIV/0!</v>
      </c>
    </row>
    <row r="18" spans="4:8" x14ac:dyDescent="0.25">
      <c r="D18" s="28" t="s">
        <v>28</v>
      </c>
      <c r="E18" s="22">
        <f>SUM(E15:E17)</f>
        <v>2</v>
      </c>
      <c r="F18" s="29">
        <f t="shared" si="0"/>
        <v>100</v>
      </c>
      <c r="H18" s="25" t="e">
        <f t="shared" si="1"/>
        <v>#DIV/0!</v>
      </c>
    </row>
  </sheetData>
  <sheetProtection algorithmName="SHA-512" hashValue="bgb3VcP0C/AKpzsrf8WYLiUCOhSPnjU4qeoZKDuNrBzNsCnsQn96BgAGbAd+CSCyCt0Qi8ElK2sfgZRa4Xvs6g==" saltValue="gNJLcDkexL5W6cep2OwYrA==" spinCount="100000" sheet="1" objects="1" scenarios="1"/>
  <mergeCells count="3">
    <mergeCell ref="B2:M2"/>
    <mergeCell ref="B3:M3"/>
    <mergeCell ref="B4:M4"/>
  </mergeCells>
  <pageMargins left="0.7" right="0.7" top="0.75" bottom="0.75" header="0.3" footer="0.3"/>
  <pageSetup scale="37"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26"/>
  <sheetViews>
    <sheetView zoomScale="60" zoomScaleNormal="60" workbookViewId="0">
      <selection activeCell="S22" sqref="S22"/>
    </sheetView>
  </sheetViews>
  <sheetFormatPr baseColWidth="10" defaultRowHeight="15" x14ac:dyDescent="0.25"/>
  <cols>
    <col min="2" max="3" width="11.42578125" style="54"/>
    <col min="4" max="4" width="26.42578125" customWidth="1"/>
    <col min="5" max="5" width="16.140625" customWidth="1"/>
    <col min="6" max="6" width="17.5703125" customWidth="1"/>
    <col min="7" max="7" width="18.28515625" customWidth="1"/>
    <col min="8" max="8" width="20" hidden="1" customWidth="1"/>
    <col min="9" max="9" width="31" hidden="1" customWidth="1"/>
    <col min="10" max="10" width="24.42578125" customWidth="1"/>
    <col min="11" max="11" width="30.85546875" customWidth="1"/>
    <col min="12" max="12" width="29.140625" customWidth="1"/>
    <col min="13" max="13" width="25.7109375" customWidth="1"/>
  </cols>
  <sheetData>
    <row r="2" spans="2:16" ht="18.75" x14ac:dyDescent="0.3">
      <c r="B2" s="236" t="s">
        <v>0</v>
      </c>
      <c r="C2" s="236"/>
      <c r="D2" s="236"/>
      <c r="E2" s="236"/>
      <c r="F2" s="236"/>
      <c r="G2" s="236"/>
      <c r="H2" s="236"/>
      <c r="I2" s="236"/>
      <c r="J2" s="236"/>
      <c r="K2" s="236"/>
      <c r="L2" s="236"/>
      <c r="M2" s="236"/>
    </row>
    <row r="3" spans="2:16" ht="18.75" x14ac:dyDescent="0.3">
      <c r="B3" s="236" t="s">
        <v>29</v>
      </c>
      <c r="C3" s="236"/>
      <c r="D3" s="236"/>
      <c r="E3" s="236"/>
      <c r="F3" s="236"/>
      <c r="G3" s="236"/>
      <c r="H3" s="236"/>
      <c r="I3" s="236"/>
      <c r="J3" s="236"/>
      <c r="K3" s="236"/>
      <c r="L3" s="236"/>
      <c r="M3" s="236"/>
    </row>
    <row r="4" spans="2:16" ht="18.75" x14ac:dyDescent="0.3">
      <c r="B4" s="236" t="s">
        <v>2</v>
      </c>
      <c r="C4" s="236"/>
      <c r="D4" s="236"/>
      <c r="E4" s="236"/>
      <c r="F4" s="236"/>
      <c r="G4" s="236"/>
      <c r="H4" s="236"/>
      <c r="I4" s="236"/>
      <c r="J4" s="236"/>
      <c r="K4" s="236"/>
      <c r="L4" s="236"/>
      <c r="M4" s="236"/>
    </row>
    <row r="8" spans="2:16" ht="60" x14ac:dyDescent="0.25">
      <c r="B8" s="6" t="s">
        <v>3</v>
      </c>
      <c r="C8" s="6" t="s">
        <v>4</v>
      </c>
      <c r="D8" s="7" t="s">
        <v>5</v>
      </c>
      <c r="E8" s="7" t="s">
        <v>6</v>
      </c>
      <c r="F8" s="7" t="s">
        <v>7</v>
      </c>
      <c r="G8" s="7" t="s">
        <v>8</v>
      </c>
      <c r="H8" s="7" t="s">
        <v>9</v>
      </c>
      <c r="I8" s="7" t="s">
        <v>10</v>
      </c>
      <c r="J8" s="6" t="s">
        <v>11</v>
      </c>
      <c r="K8" s="7" t="s">
        <v>12</v>
      </c>
      <c r="L8" s="7" t="s">
        <v>13</v>
      </c>
      <c r="M8" s="8" t="s">
        <v>14</v>
      </c>
    </row>
    <row r="9" spans="2:16" ht="185.25" x14ac:dyDescent="0.25">
      <c r="B9" s="9">
        <v>1</v>
      </c>
      <c r="C9" s="15">
        <v>114</v>
      </c>
      <c r="D9" s="30" t="s">
        <v>30</v>
      </c>
      <c r="E9" s="31" t="s">
        <v>16</v>
      </c>
      <c r="F9" s="32">
        <v>30</v>
      </c>
      <c r="G9" s="33">
        <v>14</v>
      </c>
      <c r="H9" s="15" t="s">
        <v>31</v>
      </c>
      <c r="I9" s="11" t="s">
        <v>32</v>
      </c>
      <c r="J9" s="34">
        <f>130916000+25000000+123200000+639329192</f>
        <v>918445192</v>
      </c>
      <c r="K9" s="35">
        <f>130916000+12500000+318194000</f>
        <v>461610000</v>
      </c>
      <c r="L9" s="35">
        <f>130916000+10000000+21250000</f>
        <v>162166000</v>
      </c>
      <c r="M9" s="36">
        <f>+G9/F9*100</f>
        <v>46.666666666666664</v>
      </c>
    </row>
    <row r="10" spans="2:16" ht="83.25" customHeight="1" x14ac:dyDescent="0.25">
      <c r="B10" s="9">
        <v>2</v>
      </c>
      <c r="C10" s="37">
        <v>115</v>
      </c>
      <c r="D10" s="30" t="s">
        <v>33</v>
      </c>
      <c r="E10" s="31">
        <v>0</v>
      </c>
      <c r="F10" s="32">
        <v>16</v>
      </c>
      <c r="G10" s="38">
        <v>16</v>
      </c>
      <c r="H10" s="241" t="s">
        <v>34</v>
      </c>
      <c r="I10" s="242" t="s">
        <v>35</v>
      </c>
      <c r="J10" s="16">
        <v>812400000</v>
      </c>
      <c r="K10" s="17">
        <v>271480483</v>
      </c>
      <c r="L10" s="18">
        <v>83659308</v>
      </c>
      <c r="M10" s="36">
        <v>0.31</v>
      </c>
      <c r="P10" s="39" t="s">
        <v>36</v>
      </c>
    </row>
    <row r="11" spans="2:16" ht="57" x14ac:dyDescent="0.25">
      <c r="B11" s="9">
        <v>3</v>
      </c>
      <c r="C11" s="37">
        <v>116</v>
      </c>
      <c r="D11" s="30" t="s">
        <v>37</v>
      </c>
      <c r="E11" s="31" t="s">
        <v>16</v>
      </c>
      <c r="F11" s="32">
        <v>5</v>
      </c>
      <c r="G11" s="40">
        <v>0</v>
      </c>
      <c r="H11" s="238"/>
      <c r="I11" s="240"/>
      <c r="J11" s="16">
        <v>123200000</v>
      </c>
      <c r="K11" s="17">
        <v>6000000</v>
      </c>
      <c r="L11" s="18">
        <v>0</v>
      </c>
      <c r="M11" s="36">
        <f t="shared" ref="M11:M16" si="0">+G11/F11*100</f>
        <v>0</v>
      </c>
    </row>
    <row r="12" spans="2:16" ht="71.25" x14ac:dyDescent="0.25">
      <c r="B12" s="9">
        <v>4</v>
      </c>
      <c r="C12" s="15">
        <v>117</v>
      </c>
      <c r="D12" s="41" t="s">
        <v>38</v>
      </c>
      <c r="E12" s="42" t="s">
        <v>16</v>
      </c>
      <c r="F12" s="43">
        <v>1</v>
      </c>
      <c r="G12" s="44">
        <v>0</v>
      </c>
      <c r="H12" s="15" t="s">
        <v>39</v>
      </c>
      <c r="I12" s="41" t="s">
        <v>40</v>
      </c>
      <c r="J12" s="45">
        <v>50000000</v>
      </c>
      <c r="K12" s="46">
        <v>0</v>
      </c>
      <c r="L12" s="46">
        <v>0</v>
      </c>
      <c r="M12" s="36">
        <f t="shared" si="0"/>
        <v>0</v>
      </c>
    </row>
    <row r="13" spans="2:16" ht="114" x14ac:dyDescent="0.25">
      <c r="B13" s="9">
        <v>5</v>
      </c>
      <c r="C13" s="15">
        <v>118</v>
      </c>
      <c r="D13" s="41" t="s">
        <v>41</v>
      </c>
      <c r="E13" s="42">
        <v>16</v>
      </c>
      <c r="F13" s="42">
        <v>4</v>
      </c>
      <c r="G13" s="47">
        <v>1</v>
      </c>
      <c r="H13" s="15" t="s">
        <v>42</v>
      </c>
      <c r="I13" s="41" t="s">
        <v>43</v>
      </c>
      <c r="J13" s="48">
        <f>38000000+85200000</f>
        <v>123200000</v>
      </c>
      <c r="K13" s="49">
        <f>38000000+5494000</f>
        <v>43494000</v>
      </c>
      <c r="L13" s="50">
        <v>32000000</v>
      </c>
      <c r="M13" s="36">
        <f t="shared" si="0"/>
        <v>25</v>
      </c>
    </row>
    <row r="14" spans="2:16" ht="99.75" x14ac:dyDescent="0.25">
      <c r="B14" s="9">
        <v>6</v>
      </c>
      <c r="C14" s="15">
        <v>119</v>
      </c>
      <c r="D14" s="41" t="s">
        <v>44</v>
      </c>
      <c r="E14" s="42">
        <v>10</v>
      </c>
      <c r="F14" s="42">
        <v>7</v>
      </c>
      <c r="G14" s="47">
        <v>1</v>
      </c>
      <c r="H14" s="15" t="s">
        <v>45</v>
      </c>
      <c r="I14" s="41" t="s">
        <v>46</v>
      </c>
      <c r="J14" s="48">
        <v>393032525</v>
      </c>
      <c r="K14" s="49">
        <v>8000000</v>
      </c>
      <c r="L14" s="46">
        <v>8000000</v>
      </c>
      <c r="M14" s="36">
        <f t="shared" si="0"/>
        <v>14.285714285714285</v>
      </c>
    </row>
    <row r="15" spans="2:16" ht="96" customHeight="1" x14ac:dyDescent="0.25">
      <c r="B15" s="9">
        <v>7</v>
      </c>
      <c r="C15" s="15">
        <v>120</v>
      </c>
      <c r="D15" s="30" t="s">
        <v>47</v>
      </c>
      <c r="E15" s="31">
        <v>0</v>
      </c>
      <c r="F15" s="32">
        <v>2</v>
      </c>
      <c r="G15" s="33">
        <v>0</v>
      </c>
      <c r="H15" s="237" t="s">
        <v>48</v>
      </c>
      <c r="I15" s="244" t="s">
        <v>49</v>
      </c>
      <c r="J15" s="48">
        <v>15000000</v>
      </c>
      <c r="K15" s="49">
        <v>0</v>
      </c>
      <c r="L15" s="46">
        <v>0</v>
      </c>
      <c r="M15" s="36">
        <f t="shared" si="0"/>
        <v>0</v>
      </c>
    </row>
    <row r="16" spans="2:16" ht="71.25" x14ac:dyDescent="0.25">
      <c r="B16" s="9">
        <v>8</v>
      </c>
      <c r="C16" s="15">
        <v>121</v>
      </c>
      <c r="D16" s="30" t="s">
        <v>50</v>
      </c>
      <c r="E16" s="31">
        <v>9</v>
      </c>
      <c r="F16" s="32">
        <v>4</v>
      </c>
      <c r="G16" s="40">
        <v>0</v>
      </c>
      <c r="H16" s="238"/>
      <c r="I16" s="246"/>
      <c r="J16" s="48">
        <v>15000000</v>
      </c>
      <c r="K16" s="49">
        <v>0</v>
      </c>
      <c r="L16" s="46">
        <v>0</v>
      </c>
      <c r="M16" s="36">
        <f t="shared" si="0"/>
        <v>0</v>
      </c>
    </row>
    <row r="17" spans="2:13" ht="33.75" customHeight="1" x14ac:dyDescent="0.25">
      <c r="B17" s="9"/>
      <c r="C17" s="51"/>
      <c r="D17" s="52" t="s">
        <v>51</v>
      </c>
      <c r="E17" s="52"/>
      <c r="F17" s="52"/>
      <c r="G17" s="52"/>
      <c r="H17" s="52"/>
      <c r="I17" s="52"/>
      <c r="J17" s="53">
        <f>SUM(J9:J16)</f>
        <v>2450277717</v>
      </c>
      <c r="K17" s="53">
        <f t="shared" ref="K17:L17" si="1">SUM(K9:K16)</f>
        <v>790584483</v>
      </c>
      <c r="L17" s="53">
        <f t="shared" si="1"/>
        <v>285825308</v>
      </c>
      <c r="M17" s="24"/>
    </row>
    <row r="22" spans="2:13" ht="71.25" customHeight="1" x14ac:dyDescent="0.25">
      <c r="D22" s="20" t="s">
        <v>22</v>
      </c>
      <c r="E22" s="21" t="s">
        <v>23</v>
      </c>
      <c r="F22" s="22" t="s">
        <v>24</v>
      </c>
      <c r="H22" s="23" t="s">
        <v>24</v>
      </c>
    </row>
    <row r="23" spans="2:13" x14ac:dyDescent="0.25">
      <c r="D23" s="24" t="s">
        <v>25</v>
      </c>
      <c r="E23" s="9">
        <v>0</v>
      </c>
      <c r="F23" s="9">
        <f>+E23/$E$26*100</f>
        <v>0</v>
      </c>
      <c r="H23" s="25" t="e">
        <f>+E23/$G$22*100</f>
        <v>#DIV/0!</v>
      </c>
    </row>
    <row r="24" spans="2:13" x14ac:dyDescent="0.25">
      <c r="D24" s="24" t="s">
        <v>26</v>
      </c>
      <c r="E24" s="9">
        <v>0</v>
      </c>
      <c r="F24" s="9">
        <f t="shared" ref="F24:F26" si="2">+E24/$E$26*100</f>
        <v>0</v>
      </c>
      <c r="H24" s="25" t="e">
        <f t="shared" ref="H24:H26" si="3">+E24/$G$22*100</f>
        <v>#DIV/0!</v>
      </c>
    </row>
    <row r="25" spans="2:13" x14ac:dyDescent="0.25">
      <c r="D25" s="24" t="s">
        <v>27</v>
      </c>
      <c r="E25" s="9">
        <v>8</v>
      </c>
      <c r="F25" s="9">
        <f t="shared" si="2"/>
        <v>100</v>
      </c>
      <c r="H25" s="25" t="e">
        <f t="shared" si="3"/>
        <v>#DIV/0!</v>
      </c>
    </row>
    <row r="26" spans="2:13" x14ac:dyDescent="0.25">
      <c r="D26" s="28" t="s">
        <v>28</v>
      </c>
      <c r="E26" s="22">
        <f>SUM(E23:E25)</f>
        <v>8</v>
      </c>
      <c r="F26" s="29">
        <f t="shared" si="2"/>
        <v>100</v>
      </c>
      <c r="H26" s="25" t="e">
        <f t="shared" si="3"/>
        <v>#DIV/0!</v>
      </c>
    </row>
  </sheetData>
  <sheetProtection algorithmName="SHA-512" hashValue="Y/KI87Y+F7b6cs577LjfM/FdSOpiw2hrATQxmdv1aQxfk3LbKZABuEcnq3BtkypH0oOnP6peV2pUdOwXvoBS3g==" saltValue="3wjcoCHygNAgoujcjqhPJA==" spinCount="100000" sheet="1" objects="1" scenarios="1"/>
  <mergeCells count="7">
    <mergeCell ref="H15:H16"/>
    <mergeCell ref="I15:I16"/>
    <mergeCell ref="B2:M2"/>
    <mergeCell ref="B3:M3"/>
    <mergeCell ref="B4:M4"/>
    <mergeCell ref="H10:H11"/>
    <mergeCell ref="I10:I11"/>
  </mergeCells>
  <pageMargins left="0.7" right="0.7" top="0.75" bottom="0.75" header="0.3" footer="0.3"/>
  <pageSetup scale="40" orientation="portrait" r:id="rId1"/>
  <colBreaks count="1" manualBreakCount="1">
    <brk id="13" max="38"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68"/>
  <sheetViews>
    <sheetView view="pageBreakPreview" topLeftCell="A19" zoomScale="60" zoomScaleNormal="80" workbookViewId="0">
      <selection activeCell="J71" sqref="J71"/>
    </sheetView>
  </sheetViews>
  <sheetFormatPr baseColWidth="10" defaultRowHeight="15" x14ac:dyDescent="0.25"/>
  <cols>
    <col min="2" max="2" width="18.140625" style="54" customWidth="1"/>
    <col min="3" max="3" width="16.28515625" style="4" customWidth="1"/>
    <col min="4" max="4" width="28.42578125" customWidth="1"/>
    <col min="6" max="6" width="14.85546875" customWidth="1"/>
    <col min="8" max="8" width="24.28515625" hidden="1" customWidth="1"/>
    <col min="9" max="9" width="20.85546875" hidden="1" customWidth="1"/>
    <col min="10" max="10" width="26.140625" customWidth="1"/>
    <col min="11" max="11" width="28.140625" customWidth="1"/>
    <col min="12" max="12" width="26.140625" customWidth="1"/>
    <col min="13" max="13" width="21.5703125" customWidth="1"/>
  </cols>
  <sheetData>
    <row r="2" spans="2:13" s="2" customFormat="1" ht="18.75" x14ac:dyDescent="0.3">
      <c r="B2" s="81"/>
      <c r="C2" s="1"/>
      <c r="J2" s="3"/>
      <c r="K2" s="3"/>
      <c r="L2" s="3"/>
    </row>
    <row r="3" spans="2:13" s="2" customFormat="1" ht="18.75" x14ac:dyDescent="0.3">
      <c r="B3" s="236" t="s">
        <v>0</v>
      </c>
      <c r="C3" s="236"/>
      <c r="D3" s="236"/>
      <c r="E3" s="236"/>
      <c r="F3" s="236"/>
      <c r="G3" s="236"/>
      <c r="H3" s="236"/>
      <c r="I3" s="236"/>
      <c r="J3" s="236"/>
      <c r="K3" s="236"/>
      <c r="L3" s="236"/>
      <c r="M3" s="236"/>
    </row>
    <row r="4" spans="2:13" s="2" customFormat="1" ht="18.75" x14ac:dyDescent="0.3">
      <c r="B4" s="236" t="s">
        <v>107</v>
      </c>
      <c r="C4" s="236"/>
      <c r="D4" s="236"/>
      <c r="E4" s="236"/>
      <c r="F4" s="236"/>
      <c r="G4" s="236"/>
      <c r="H4" s="236"/>
      <c r="I4" s="236"/>
      <c r="J4" s="236"/>
      <c r="K4" s="236"/>
      <c r="L4" s="236"/>
      <c r="M4" s="236"/>
    </row>
    <row r="5" spans="2:13" s="2" customFormat="1" ht="18.75" x14ac:dyDescent="0.3">
      <c r="B5" s="236" t="s">
        <v>2</v>
      </c>
      <c r="C5" s="236"/>
      <c r="D5" s="236"/>
      <c r="E5" s="236"/>
      <c r="F5" s="236"/>
      <c r="G5" s="236"/>
      <c r="H5" s="236"/>
      <c r="I5" s="236"/>
      <c r="J5" s="236"/>
      <c r="K5" s="236"/>
      <c r="L5" s="236"/>
      <c r="M5" s="236"/>
    </row>
    <row r="6" spans="2:13" x14ac:dyDescent="0.25">
      <c r="J6" s="5"/>
      <c r="K6" s="5"/>
      <c r="L6" s="5"/>
    </row>
    <row r="7" spans="2:13" ht="122.25" customHeight="1" x14ac:dyDescent="0.25">
      <c r="B7" s="6" t="s">
        <v>3</v>
      </c>
      <c r="C7" s="6" t="s">
        <v>4</v>
      </c>
      <c r="D7" s="7" t="s">
        <v>5</v>
      </c>
      <c r="E7" s="7" t="s">
        <v>6</v>
      </c>
      <c r="F7" s="7" t="s">
        <v>7</v>
      </c>
      <c r="G7" s="7" t="s">
        <v>8</v>
      </c>
      <c r="H7" s="7" t="s">
        <v>9</v>
      </c>
      <c r="I7" s="7" t="s">
        <v>10</v>
      </c>
      <c r="J7" s="6" t="s">
        <v>11</v>
      </c>
      <c r="K7" s="7" t="s">
        <v>12</v>
      </c>
      <c r="L7" s="7" t="s">
        <v>13</v>
      </c>
      <c r="M7" s="8" t="s">
        <v>14</v>
      </c>
    </row>
    <row r="8" spans="2:13" ht="85.5" customHeight="1" x14ac:dyDescent="0.25">
      <c r="B8" s="9">
        <v>1</v>
      </c>
      <c r="C8" s="15">
        <v>65</v>
      </c>
      <c r="D8" s="41" t="s">
        <v>108</v>
      </c>
      <c r="E8" s="82">
        <v>1</v>
      </c>
      <c r="F8" s="82">
        <v>1</v>
      </c>
      <c r="G8" s="83">
        <v>0.24</v>
      </c>
      <c r="H8" s="252" t="s">
        <v>109</v>
      </c>
      <c r="I8" s="255" t="s">
        <v>110</v>
      </c>
      <c r="J8" s="84">
        <v>3675743459</v>
      </c>
      <c r="K8" s="85">
        <v>2076955589</v>
      </c>
      <c r="L8" s="86">
        <v>1048839741</v>
      </c>
      <c r="M8" s="36">
        <f>+G8/F8*100</f>
        <v>24</v>
      </c>
    </row>
    <row r="9" spans="2:13" ht="57" x14ac:dyDescent="0.25">
      <c r="B9" s="9">
        <v>2</v>
      </c>
      <c r="C9" s="15">
        <v>66</v>
      </c>
      <c r="D9" s="41" t="s">
        <v>111</v>
      </c>
      <c r="E9" s="82">
        <v>1</v>
      </c>
      <c r="F9" s="82">
        <v>1</v>
      </c>
      <c r="G9" s="83">
        <v>0.28999999999999998</v>
      </c>
      <c r="H9" s="252"/>
      <c r="I9" s="255"/>
      <c r="J9" s="84">
        <f>4187324309+4398276550</f>
        <v>8585600859</v>
      </c>
      <c r="K9" s="85">
        <f>1691807800+4393276550</f>
        <v>6085084350</v>
      </c>
      <c r="L9" s="86">
        <f>1650000+961165800</f>
        <v>962815800</v>
      </c>
      <c r="M9" s="36">
        <f t="shared" ref="M9:M58" si="0">+G9/F9*100</f>
        <v>28.999999999999996</v>
      </c>
    </row>
    <row r="10" spans="2:13" ht="42.75" x14ac:dyDescent="0.25">
      <c r="B10" s="9">
        <v>3</v>
      </c>
      <c r="C10" s="15">
        <v>67</v>
      </c>
      <c r="D10" s="30" t="s">
        <v>112</v>
      </c>
      <c r="E10" s="87">
        <v>1</v>
      </c>
      <c r="F10" s="82">
        <v>1</v>
      </c>
      <c r="G10" s="83">
        <v>0.75</v>
      </c>
      <c r="H10" s="252"/>
      <c r="I10" s="255"/>
      <c r="J10" s="88">
        <v>1020000000</v>
      </c>
      <c r="K10" s="89">
        <v>994920199</v>
      </c>
      <c r="L10" s="90">
        <v>930586349</v>
      </c>
      <c r="M10" s="67">
        <f t="shared" si="0"/>
        <v>75</v>
      </c>
    </row>
    <row r="11" spans="2:13" ht="85.5" customHeight="1" x14ac:dyDescent="0.25">
      <c r="B11" s="9">
        <v>4</v>
      </c>
      <c r="C11" s="15">
        <v>68</v>
      </c>
      <c r="D11" s="41" t="s">
        <v>113</v>
      </c>
      <c r="E11" s="87">
        <v>4357</v>
      </c>
      <c r="F11" s="82">
        <v>4376</v>
      </c>
      <c r="G11" s="91">
        <v>4337</v>
      </c>
      <c r="H11" s="257" t="s">
        <v>114</v>
      </c>
      <c r="I11" s="249" t="s">
        <v>115</v>
      </c>
      <c r="J11" s="88">
        <v>10000000</v>
      </c>
      <c r="K11" s="89">
        <v>0</v>
      </c>
      <c r="L11" s="90">
        <v>0</v>
      </c>
      <c r="M11" s="92">
        <f t="shared" si="0"/>
        <v>99.108775137111522</v>
      </c>
    </row>
    <row r="12" spans="2:13" ht="85.5" x14ac:dyDescent="0.25">
      <c r="B12" s="9">
        <v>5</v>
      </c>
      <c r="C12" s="15">
        <v>69</v>
      </c>
      <c r="D12" s="41" t="s">
        <v>116</v>
      </c>
      <c r="E12" s="93" t="s">
        <v>16</v>
      </c>
      <c r="F12" s="61">
        <v>1</v>
      </c>
      <c r="G12" s="94">
        <v>0.75</v>
      </c>
      <c r="H12" s="258"/>
      <c r="I12" s="250"/>
      <c r="J12" s="88">
        <v>10000000</v>
      </c>
      <c r="K12" s="89">
        <v>0</v>
      </c>
      <c r="L12" s="90">
        <v>0</v>
      </c>
      <c r="M12" s="67">
        <f t="shared" si="0"/>
        <v>75</v>
      </c>
    </row>
    <row r="13" spans="2:13" ht="85.5" x14ac:dyDescent="0.25">
      <c r="B13" s="9">
        <v>6</v>
      </c>
      <c r="C13" s="15">
        <v>70</v>
      </c>
      <c r="D13" s="41" t="s">
        <v>117</v>
      </c>
      <c r="E13" s="87">
        <v>322</v>
      </c>
      <c r="F13" s="82">
        <v>343</v>
      </c>
      <c r="G13" s="91">
        <v>379</v>
      </c>
      <c r="H13" s="258"/>
      <c r="I13" s="250"/>
      <c r="J13" s="88">
        <v>20000000</v>
      </c>
      <c r="K13" s="89">
        <v>0</v>
      </c>
      <c r="L13" s="90">
        <v>0</v>
      </c>
      <c r="M13" s="95">
        <f t="shared" si="0"/>
        <v>110.49562682215743</v>
      </c>
    </row>
    <row r="14" spans="2:13" ht="85.5" x14ac:dyDescent="0.25">
      <c r="B14" s="9">
        <v>7</v>
      </c>
      <c r="C14" s="15">
        <v>71</v>
      </c>
      <c r="D14" s="41" t="s">
        <v>118</v>
      </c>
      <c r="E14" s="87">
        <v>1762</v>
      </c>
      <c r="F14" s="82">
        <v>1863</v>
      </c>
      <c r="G14" s="91">
        <v>2226</v>
      </c>
      <c r="H14" s="258"/>
      <c r="I14" s="250"/>
      <c r="J14" s="88">
        <v>0</v>
      </c>
      <c r="K14" s="89">
        <v>0</v>
      </c>
      <c r="L14" s="90">
        <v>0</v>
      </c>
      <c r="M14" s="95">
        <f t="shared" si="0"/>
        <v>119.48470209339774</v>
      </c>
    </row>
    <row r="15" spans="2:13" ht="114" x14ac:dyDescent="0.25">
      <c r="B15" s="9">
        <v>8</v>
      </c>
      <c r="C15" s="15">
        <v>72</v>
      </c>
      <c r="D15" s="41" t="s">
        <v>119</v>
      </c>
      <c r="E15" s="87">
        <v>455</v>
      </c>
      <c r="F15" s="82">
        <v>455</v>
      </c>
      <c r="G15" s="91">
        <v>455</v>
      </c>
      <c r="H15" s="258"/>
      <c r="I15" s="250"/>
      <c r="J15" s="88">
        <v>10000000</v>
      </c>
      <c r="K15" s="89">
        <v>0</v>
      </c>
      <c r="L15" s="90">
        <v>0</v>
      </c>
      <c r="M15" s="95">
        <f t="shared" si="0"/>
        <v>100</v>
      </c>
    </row>
    <row r="16" spans="2:13" ht="85.5" x14ac:dyDescent="0.25">
      <c r="B16" s="9">
        <v>9</v>
      </c>
      <c r="C16" s="15">
        <v>73</v>
      </c>
      <c r="D16" s="41" t="s">
        <v>120</v>
      </c>
      <c r="E16" s="87" t="s">
        <v>16</v>
      </c>
      <c r="F16" s="82">
        <v>1</v>
      </c>
      <c r="G16" s="96">
        <v>0.04</v>
      </c>
      <c r="H16" s="259"/>
      <c r="I16" s="251"/>
      <c r="J16" s="84">
        <v>1000000000</v>
      </c>
      <c r="K16" s="85">
        <v>82550000</v>
      </c>
      <c r="L16" s="86">
        <v>44070000</v>
      </c>
      <c r="M16" s="36">
        <f t="shared" si="0"/>
        <v>4</v>
      </c>
    </row>
    <row r="17" spans="2:13" ht="147" customHeight="1" x14ac:dyDescent="0.25">
      <c r="B17" s="9">
        <v>11</v>
      </c>
      <c r="C17" s="10">
        <v>74</v>
      </c>
      <c r="D17" s="30" t="s">
        <v>121</v>
      </c>
      <c r="E17" s="82">
        <v>2232</v>
      </c>
      <c r="F17" s="82">
        <v>2232</v>
      </c>
      <c r="G17" s="91">
        <v>2232</v>
      </c>
      <c r="H17" s="15" t="s">
        <v>122</v>
      </c>
      <c r="I17" s="11" t="s">
        <v>123</v>
      </c>
      <c r="J17" s="97">
        <f>52492913320.71+44816315370.13</f>
        <v>97309228690.839996</v>
      </c>
      <c r="K17" s="90">
        <f>21030769324+44816315370.13</f>
        <v>65847084694.129997</v>
      </c>
      <c r="L17" s="90">
        <f>21022976908+44487174733.13</f>
        <v>65510151641.129997</v>
      </c>
      <c r="M17" s="95">
        <f t="shared" si="0"/>
        <v>100</v>
      </c>
    </row>
    <row r="18" spans="2:13" ht="123" customHeight="1" x14ac:dyDescent="0.25">
      <c r="B18" s="9">
        <v>13</v>
      </c>
      <c r="C18" s="15">
        <v>75</v>
      </c>
      <c r="D18" s="30" t="s">
        <v>124</v>
      </c>
      <c r="E18" s="87">
        <v>18</v>
      </c>
      <c r="F18" s="98">
        <v>23</v>
      </c>
      <c r="G18" s="99">
        <v>19</v>
      </c>
      <c r="H18" s="237" t="s">
        <v>125</v>
      </c>
      <c r="I18" s="239" t="s">
        <v>126</v>
      </c>
      <c r="J18" s="97">
        <v>0</v>
      </c>
      <c r="K18" s="90">
        <v>0</v>
      </c>
      <c r="L18" s="90">
        <v>0</v>
      </c>
      <c r="M18" s="92">
        <f t="shared" si="0"/>
        <v>82.608695652173907</v>
      </c>
    </row>
    <row r="19" spans="2:13" ht="84.75" customHeight="1" x14ac:dyDescent="0.25">
      <c r="B19" s="9">
        <v>14</v>
      </c>
      <c r="C19" s="15">
        <v>76</v>
      </c>
      <c r="D19" s="30" t="s">
        <v>127</v>
      </c>
      <c r="E19" s="87">
        <v>0</v>
      </c>
      <c r="F19" s="100">
        <v>150</v>
      </c>
      <c r="G19" s="101">
        <v>455</v>
      </c>
      <c r="H19" s="241"/>
      <c r="I19" s="242"/>
      <c r="J19" s="88">
        <v>130000000</v>
      </c>
      <c r="K19" s="89">
        <v>78750000</v>
      </c>
      <c r="L19" s="90">
        <v>0</v>
      </c>
      <c r="M19" s="95">
        <f t="shared" si="0"/>
        <v>303.33333333333331</v>
      </c>
    </row>
    <row r="20" spans="2:13" ht="54" customHeight="1" x14ac:dyDescent="0.25">
      <c r="B20" s="9">
        <v>15</v>
      </c>
      <c r="C20" s="15">
        <v>77</v>
      </c>
      <c r="D20" s="30" t="s">
        <v>128</v>
      </c>
      <c r="E20" s="87">
        <v>20</v>
      </c>
      <c r="F20" s="100">
        <v>28</v>
      </c>
      <c r="G20" s="101">
        <v>35</v>
      </c>
      <c r="H20" s="241"/>
      <c r="I20" s="242"/>
      <c r="J20" s="88">
        <v>0</v>
      </c>
      <c r="K20" s="89">
        <v>0</v>
      </c>
      <c r="L20" s="90">
        <v>0</v>
      </c>
      <c r="M20" s="95">
        <f t="shared" si="0"/>
        <v>125</v>
      </c>
    </row>
    <row r="21" spans="2:13" ht="57" x14ac:dyDescent="0.25">
      <c r="B21" s="9">
        <v>16</v>
      </c>
      <c r="C21" s="15">
        <v>78</v>
      </c>
      <c r="D21" s="30" t="s">
        <v>129</v>
      </c>
      <c r="E21" s="87">
        <v>7</v>
      </c>
      <c r="F21" s="100">
        <v>9</v>
      </c>
      <c r="G21" s="101">
        <v>9</v>
      </c>
      <c r="H21" s="241"/>
      <c r="I21" s="242"/>
      <c r="J21" s="88">
        <v>0</v>
      </c>
      <c r="K21" s="89">
        <v>0</v>
      </c>
      <c r="L21" s="90">
        <v>0</v>
      </c>
      <c r="M21" s="95">
        <f t="shared" si="0"/>
        <v>100</v>
      </c>
    </row>
    <row r="22" spans="2:13" ht="42.75" x14ac:dyDescent="0.25">
      <c r="B22" s="9">
        <v>17</v>
      </c>
      <c r="C22" s="15">
        <v>79</v>
      </c>
      <c r="D22" s="30" t="s">
        <v>130</v>
      </c>
      <c r="E22" s="87">
        <v>96</v>
      </c>
      <c r="F22" s="100">
        <v>113</v>
      </c>
      <c r="G22" s="101">
        <v>91</v>
      </c>
      <c r="H22" s="241"/>
      <c r="I22" s="242"/>
      <c r="J22" s="88">
        <v>0</v>
      </c>
      <c r="K22" s="89">
        <v>0</v>
      </c>
      <c r="L22" s="90">
        <v>0</v>
      </c>
      <c r="M22" s="95">
        <f t="shared" si="0"/>
        <v>80.530973451327441</v>
      </c>
    </row>
    <row r="23" spans="2:13" ht="57" x14ac:dyDescent="0.25">
      <c r="B23" s="9">
        <v>18</v>
      </c>
      <c r="C23" s="15">
        <v>80</v>
      </c>
      <c r="D23" s="30" t="s">
        <v>131</v>
      </c>
      <c r="E23" s="87">
        <v>2906</v>
      </c>
      <c r="F23" s="100">
        <v>3130</v>
      </c>
      <c r="G23" s="101">
        <v>2583</v>
      </c>
      <c r="H23" s="241"/>
      <c r="I23" s="242"/>
      <c r="J23" s="88">
        <v>0</v>
      </c>
      <c r="K23" s="89">
        <v>0</v>
      </c>
      <c r="L23" s="90">
        <v>0</v>
      </c>
      <c r="M23" s="95">
        <f t="shared" si="0"/>
        <v>82.523961661341843</v>
      </c>
    </row>
    <row r="24" spans="2:13" ht="114" x14ac:dyDescent="0.25">
      <c r="B24" s="9">
        <v>19</v>
      </c>
      <c r="C24" s="15">
        <v>81</v>
      </c>
      <c r="D24" s="30" t="s">
        <v>132</v>
      </c>
      <c r="E24" s="31">
        <v>13</v>
      </c>
      <c r="F24" s="100">
        <v>17</v>
      </c>
      <c r="G24" s="101">
        <v>22</v>
      </c>
      <c r="H24" s="241"/>
      <c r="I24" s="242"/>
      <c r="J24" s="88">
        <v>0</v>
      </c>
      <c r="K24" s="89">
        <v>0</v>
      </c>
      <c r="L24" s="90">
        <v>0</v>
      </c>
      <c r="M24" s="95">
        <f t="shared" si="0"/>
        <v>129.41176470588235</v>
      </c>
    </row>
    <row r="25" spans="2:13" ht="99.75" x14ac:dyDescent="0.25">
      <c r="B25" s="9">
        <v>20</v>
      </c>
      <c r="C25" s="15">
        <v>82</v>
      </c>
      <c r="D25" s="30" t="s">
        <v>133</v>
      </c>
      <c r="E25" s="31">
        <v>14</v>
      </c>
      <c r="F25" s="100">
        <v>17</v>
      </c>
      <c r="G25" s="101">
        <v>17</v>
      </c>
      <c r="H25" s="238"/>
      <c r="I25" s="240"/>
      <c r="J25" s="88">
        <v>0</v>
      </c>
      <c r="K25" s="89">
        <v>0</v>
      </c>
      <c r="L25" s="90">
        <v>0</v>
      </c>
      <c r="M25" s="95">
        <f t="shared" si="0"/>
        <v>100</v>
      </c>
    </row>
    <row r="26" spans="2:13" ht="89.25" customHeight="1" x14ac:dyDescent="0.25">
      <c r="B26" s="9">
        <v>21</v>
      </c>
      <c r="C26" s="15">
        <v>83</v>
      </c>
      <c r="D26" s="41" t="s">
        <v>134</v>
      </c>
      <c r="E26" s="82">
        <v>0</v>
      </c>
      <c r="F26" s="100">
        <v>4</v>
      </c>
      <c r="G26" s="101">
        <v>0</v>
      </c>
      <c r="H26" s="237" t="s">
        <v>135</v>
      </c>
      <c r="I26" s="239" t="s">
        <v>136</v>
      </c>
      <c r="J26" s="97">
        <v>15000000</v>
      </c>
      <c r="K26" s="90">
        <v>0</v>
      </c>
      <c r="L26" s="90">
        <v>0</v>
      </c>
      <c r="M26" s="36">
        <f t="shared" si="0"/>
        <v>0</v>
      </c>
    </row>
    <row r="27" spans="2:13" ht="99" customHeight="1" x14ac:dyDescent="0.25">
      <c r="B27" s="9">
        <v>22</v>
      </c>
      <c r="C27" s="15">
        <v>84</v>
      </c>
      <c r="D27" s="41" t="s">
        <v>137</v>
      </c>
      <c r="E27" s="82">
        <v>0</v>
      </c>
      <c r="F27" s="100">
        <v>4</v>
      </c>
      <c r="G27" s="101">
        <v>0</v>
      </c>
      <c r="H27" s="241"/>
      <c r="I27" s="242"/>
      <c r="J27" s="88">
        <v>0</v>
      </c>
      <c r="K27" s="89">
        <v>0</v>
      </c>
      <c r="L27" s="90">
        <v>0</v>
      </c>
      <c r="M27" s="36">
        <f t="shared" si="0"/>
        <v>0</v>
      </c>
    </row>
    <row r="28" spans="2:13" ht="57" x14ac:dyDescent="0.25">
      <c r="B28" s="9">
        <v>23</v>
      </c>
      <c r="C28" s="15">
        <v>85</v>
      </c>
      <c r="D28" s="41" t="s">
        <v>138</v>
      </c>
      <c r="E28" s="82">
        <v>0</v>
      </c>
      <c r="F28" s="100">
        <v>4</v>
      </c>
      <c r="G28" s="101">
        <v>0</v>
      </c>
      <c r="H28" s="241"/>
      <c r="I28" s="242"/>
      <c r="J28" s="88">
        <v>15000000</v>
      </c>
      <c r="K28" s="89">
        <v>0</v>
      </c>
      <c r="L28" s="90">
        <v>0</v>
      </c>
      <c r="M28" s="36">
        <f t="shared" si="0"/>
        <v>0</v>
      </c>
    </row>
    <row r="29" spans="2:13" ht="121.5" customHeight="1" x14ac:dyDescent="0.25">
      <c r="B29" s="9">
        <v>24</v>
      </c>
      <c r="C29" s="15">
        <v>87</v>
      </c>
      <c r="D29" s="41" t="s">
        <v>139</v>
      </c>
      <c r="E29" s="82">
        <v>0</v>
      </c>
      <c r="F29" s="102">
        <v>2</v>
      </c>
      <c r="G29" s="101">
        <v>0</v>
      </c>
      <c r="H29" s="241"/>
      <c r="I29" s="242"/>
      <c r="J29" s="88">
        <v>60000000</v>
      </c>
      <c r="K29" s="89">
        <v>0</v>
      </c>
      <c r="L29" s="90">
        <v>0</v>
      </c>
      <c r="M29" s="36">
        <f t="shared" si="0"/>
        <v>0</v>
      </c>
    </row>
    <row r="30" spans="2:13" ht="68.25" customHeight="1" x14ac:dyDescent="0.25">
      <c r="B30" s="9">
        <v>25</v>
      </c>
      <c r="C30" s="15">
        <v>88</v>
      </c>
      <c r="D30" s="41" t="s">
        <v>140</v>
      </c>
      <c r="E30" s="82">
        <v>21</v>
      </c>
      <c r="F30" s="100">
        <v>23</v>
      </c>
      <c r="G30" s="101">
        <v>8</v>
      </c>
      <c r="H30" s="241"/>
      <c r="I30" s="242"/>
      <c r="J30" s="88">
        <v>0</v>
      </c>
      <c r="K30" s="89">
        <v>0</v>
      </c>
      <c r="L30" s="90">
        <v>0</v>
      </c>
      <c r="M30" s="36">
        <f t="shared" si="0"/>
        <v>34.782608695652172</v>
      </c>
    </row>
    <row r="31" spans="2:13" ht="128.25" x14ac:dyDescent="0.25">
      <c r="B31" s="9">
        <v>26</v>
      </c>
      <c r="C31" s="103">
        <v>86</v>
      </c>
      <c r="D31" s="41" t="s">
        <v>141</v>
      </c>
      <c r="E31" s="82">
        <v>0</v>
      </c>
      <c r="F31" s="98">
        <v>1</v>
      </c>
      <c r="G31" s="99">
        <v>0</v>
      </c>
      <c r="H31" s="241"/>
      <c r="I31" s="242"/>
      <c r="J31" s="88">
        <v>0</v>
      </c>
      <c r="K31" s="89">
        <v>0</v>
      </c>
      <c r="L31" s="90">
        <v>0</v>
      </c>
      <c r="M31" s="36">
        <f t="shared" si="0"/>
        <v>0</v>
      </c>
    </row>
    <row r="32" spans="2:13" ht="77.25" customHeight="1" x14ac:dyDescent="0.25">
      <c r="B32" s="9">
        <v>27</v>
      </c>
      <c r="C32" s="15">
        <v>89</v>
      </c>
      <c r="D32" s="41" t="s">
        <v>142</v>
      </c>
      <c r="E32" s="82" t="s">
        <v>16</v>
      </c>
      <c r="F32" s="100">
        <v>2500</v>
      </c>
      <c r="G32" s="101">
        <v>4307</v>
      </c>
      <c r="H32" s="241"/>
      <c r="I32" s="242"/>
      <c r="J32" s="88">
        <v>0</v>
      </c>
      <c r="K32" s="89">
        <v>0</v>
      </c>
      <c r="L32" s="90">
        <v>0</v>
      </c>
      <c r="M32" s="95">
        <f t="shared" si="0"/>
        <v>172.28</v>
      </c>
    </row>
    <row r="33" spans="2:13" ht="84.75" customHeight="1" x14ac:dyDescent="0.25">
      <c r="B33" s="9">
        <v>28</v>
      </c>
      <c r="C33" s="15">
        <v>90</v>
      </c>
      <c r="D33" s="41" t="s">
        <v>143</v>
      </c>
      <c r="E33" s="82">
        <v>100</v>
      </c>
      <c r="F33" s="100">
        <v>104</v>
      </c>
      <c r="G33" s="101">
        <v>0</v>
      </c>
      <c r="H33" s="241"/>
      <c r="I33" s="242"/>
      <c r="J33" s="88">
        <v>260000000</v>
      </c>
      <c r="K33" s="89">
        <v>0</v>
      </c>
      <c r="L33" s="90">
        <v>0</v>
      </c>
      <c r="M33" s="36">
        <f t="shared" si="0"/>
        <v>0</v>
      </c>
    </row>
    <row r="34" spans="2:13" ht="117.75" customHeight="1" x14ac:dyDescent="0.25">
      <c r="B34" s="9">
        <v>29</v>
      </c>
      <c r="C34" s="15">
        <v>91</v>
      </c>
      <c r="D34" s="41" t="s">
        <v>144</v>
      </c>
      <c r="E34" s="82">
        <v>0</v>
      </c>
      <c r="F34" s="100">
        <v>7</v>
      </c>
      <c r="G34" s="101">
        <v>0</v>
      </c>
      <c r="H34" s="241"/>
      <c r="I34" s="242"/>
      <c r="J34" s="88">
        <v>300000000</v>
      </c>
      <c r="K34" s="89">
        <v>0</v>
      </c>
      <c r="L34" s="90">
        <v>0</v>
      </c>
      <c r="M34" s="36">
        <f t="shared" si="0"/>
        <v>0</v>
      </c>
    </row>
    <row r="35" spans="2:13" ht="114" x14ac:dyDescent="0.25">
      <c r="B35" s="9">
        <v>30</v>
      </c>
      <c r="C35" s="15">
        <v>92</v>
      </c>
      <c r="D35" s="41" t="s">
        <v>145</v>
      </c>
      <c r="E35" s="82">
        <v>0</v>
      </c>
      <c r="F35" s="98">
        <v>1</v>
      </c>
      <c r="G35" s="99">
        <v>7</v>
      </c>
      <c r="H35" s="238"/>
      <c r="I35" s="240"/>
      <c r="J35" s="88">
        <v>0</v>
      </c>
      <c r="K35" s="89">
        <v>0</v>
      </c>
      <c r="L35" s="90">
        <v>0</v>
      </c>
      <c r="M35" s="95">
        <f t="shared" si="0"/>
        <v>700</v>
      </c>
    </row>
    <row r="36" spans="2:13" ht="81.75" customHeight="1" x14ac:dyDescent="0.25">
      <c r="B36" s="9">
        <v>31</v>
      </c>
      <c r="C36" s="15">
        <v>93</v>
      </c>
      <c r="D36" s="30" t="s">
        <v>146</v>
      </c>
      <c r="E36" s="87" t="s">
        <v>16</v>
      </c>
      <c r="F36" s="100">
        <v>4</v>
      </c>
      <c r="G36" s="101">
        <v>4</v>
      </c>
      <c r="H36" s="237" t="s">
        <v>147</v>
      </c>
      <c r="I36" s="244" t="s">
        <v>148</v>
      </c>
      <c r="J36" s="97">
        <v>0</v>
      </c>
      <c r="K36" s="90">
        <v>0</v>
      </c>
      <c r="L36" s="90"/>
      <c r="M36" s="95">
        <f t="shared" si="0"/>
        <v>100</v>
      </c>
    </row>
    <row r="37" spans="2:13" ht="42.75" x14ac:dyDescent="0.25">
      <c r="B37" s="9">
        <v>32</v>
      </c>
      <c r="C37" s="15">
        <v>94</v>
      </c>
      <c r="D37" s="30" t="s">
        <v>149</v>
      </c>
      <c r="E37" s="87">
        <v>70</v>
      </c>
      <c r="F37" s="102">
        <v>79</v>
      </c>
      <c r="G37" s="101">
        <v>0</v>
      </c>
      <c r="H37" s="241"/>
      <c r="I37" s="245"/>
      <c r="J37" s="88">
        <v>242500000</v>
      </c>
      <c r="K37" s="89">
        <v>0</v>
      </c>
      <c r="L37" s="90">
        <v>0</v>
      </c>
      <c r="M37" s="36">
        <f t="shared" si="0"/>
        <v>0</v>
      </c>
    </row>
    <row r="38" spans="2:13" ht="67.5" customHeight="1" x14ac:dyDescent="0.25">
      <c r="B38" s="9">
        <v>33</v>
      </c>
      <c r="C38" s="15">
        <v>95</v>
      </c>
      <c r="D38" s="41" t="s">
        <v>150</v>
      </c>
      <c r="E38" s="82">
        <v>0</v>
      </c>
      <c r="F38" s="100">
        <v>62.5</v>
      </c>
      <c r="G38" s="101">
        <v>253</v>
      </c>
      <c r="H38" s="241"/>
      <c r="I38" s="245"/>
      <c r="J38" s="84">
        <v>10000000</v>
      </c>
      <c r="K38" s="85">
        <v>0</v>
      </c>
      <c r="L38" s="86">
        <v>0</v>
      </c>
      <c r="M38" s="95">
        <f t="shared" si="0"/>
        <v>404.8</v>
      </c>
    </row>
    <row r="39" spans="2:13" ht="42.75" x14ac:dyDescent="0.25">
      <c r="B39" s="9">
        <v>34</v>
      </c>
      <c r="C39" s="15">
        <v>96</v>
      </c>
      <c r="D39" s="41" t="s">
        <v>151</v>
      </c>
      <c r="E39" s="82">
        <v>0</v>
      </c>
      <c r="F39" s="100">
        <v>0.75</v>
      </c>
      <c r="G39" s="101">
        <v>0</v>
      </c>
      <c r="H39" s="238"/>
      <c r="I39" s="246"/>
      <c r="J39" s="88">
        <v>15000000</v>
      </c>
      <c r="K39" s="89">
        <v>0</v>
      </c>
      <c r="L39" s="90">
        <v>0</v>
      </c>
      <c r="M39" s="36">
        <f t="shared" si="0"/>
        <v>0</v>
      </c>
    </row>
    <row r="40" spans="2:13" ht="114" x14ac:dyDescent="0.25">
      <c r="B40" s="9">
        <v>35</v>
      </c>
      <c r="C40" s="15">
        <v>95</v>
      </c>
      <c r="D40" s="41" t="s">
        <v>150</v>
      </c>
      <c r="E40" s="82">
        <v>0</v>
      </c>
      <c r="F40" s="100">
        <v>63</v>
      </c>
      <c r="G40" s="104">
        <v>253</v>
      </c>
      <c r="H40" s="15" t="s">
        <v>152</v>
      </c>
      <c r="I40" s="105" t="s">
        <v>153</v>
      </c>
      <c r="J40" s="84">
        <v>7500000</v>
      </c>
      <c r="K40" s="85">
        <v>7500000</v>
      </c>
      <c r="L40" s="86">
        <v>7500000</v>
      </c>
      <c r="M40" s="95">
        <f t="shared" si="0"/>
        <v>401.58730158730157</v>
      </c>
    </row>
    <row r="41" spans="2:13" ht="150" customHeight="1" x14ac:dyDescent="0.25">
      <c r="B41" s="9">
        <v>36</v>
      </c>
      <c r="C41" s="15">
        <v>97</v>
      </c>
      <c r="D41" s="30" t="s">
        <v>154</v>
      </c>
      <c r="E41" s="87" t="s">
        <v>16</v>
      </c>
      <c r="F41" s="106">
        <v>7</v>
      </c>
      <c r="G41" s="107"/>
      <c r="H41" s="15" t="s">
        <v>155</v>
      </c>
      <c r="I41" s="11" t="s">
        <v>156</v>
      </c>
      <c r="J41" s="84">
        <v>110000000</v>
      </c>
      <c r="K41" s="85">
        <v>0</v>
      </c>
      <c r="L41" s="86">
        <v>0</v>
      </c>
      <c r="M41" s="36">
        <f t="shared" si="0"/>
        <v>0</v>
      </c>
    </row>
    <row r="42" spans="2:13" ht="96.75" customHeight="1" x14ac:dyDescent="0.25">
      <c r="B42" s="9">
        <v>37</v>
      </c>
      <c r="C42" s="15">
        <v>98</v>
      </c>
      <c r="D42" s="30" t="s">
        <v>157</v>
      </c>
      <c r="E42" s="87">
        <v>60</v>
      </c>
      <c r="F42" s="106">
        <v>55</v>
      </c>
      <c r="G42" s="99">
        <v>30</v>
      </c>
      <c r="H42" s="237" t="s">
        <v>158</v>
      </c>
      <c r="I42" s="239" t="s">
        <v>159</v>
      </c>
      <c r="J42" s="84">
        <v>20000000</v>
      </c>
      <c r="K42" s="89">
        <v>17500000</v>
      </c>
      <c r="L42" s="90">
        <v>0</v>
      </c>
      <c r="M42" s="67">
        <f t="shared" si="0"/>
        <v>54.54545454545454</v>
      </c>
    </row>
    <row r="43" spans="2:13" ht="99.75" x14ac:dyDescent="0.25">
      <c r="B43" s="9">
        <v>38</v>
      </c>
      <c r="C43" s="15">
        <v>99</v>
      </c>
      <c r="D43" s="30" t="s">
        <v>160</v>
      </c>
      <c r="E43" s="87">
        <v>76</v>
      </c>
      <c r="F43" s="100">
        <v>85</v>
      </c>
      <c r="G43" s="101">
        <v>20</v>
      </c>
      <c r="H43" s="241"/>
      <c r="I43" s="242"/>
      <c r="J43" s="84">
        <v>40000000</v>
      </c>
      <c r="K43" s="89">
        <v>0</v>
      </c>
      <c r="L43" s="90">
        <v>0</v>
      </c>
      <c r="M43" s="36">
        <f t="shared" si="0"/>
        <v>23.52941176470588</v>
      </c>
    </row>
    <row r="44" spans="2:13" ht="71.25" x14ac:dyDescent="0.25">
      <c r="B44" s="9">
        <v>39</v>
      </c>
      <c r="C44" s="15">
        <v>100</v>
      </c>
      <c r="D44" s="30" t="s">
        <v>161</v>
      </c>
      <c r="E44" s="87">
        <v>0</v>
      </c>
      <c r="F44" s="100">
        <v>0.75</v>
      </c>
      <c r="G44" s="101">
        <v>0</v>
      </c>
      <c r="H44" s="241"/>
      <c r="I44" s="242"/>
      <c r="J44" s="84">
        <v>0</v>
      </c>
      <c r="K44" s="89">
        <v>0</v>
      </c>
      <c r="L44" s="90">
        <v>0</v>
      </c>
      <c r="M44" s="36">
        <f t="shared" si="0"/>
        <v>0</v>
      </c>
    </row>
    <row r="45" spans="2:13" ht="57" x14ac:dyDescent="0.25">
      <c r="B45" s="9">
        <v>40</v>
      </c>
      <c r="C45" s="15">
        <v>101</v>
      </c>
      <c r="D45" s="30" t="s">
        <v>162</v>
      </c>
      <c r="E45" s="87">
        <v>0</v>
      </c>
      <c r="F45" s="100">
        <v>7</v>
      </c>
      <c r="G45" s="101">
        <v>0</v>
      </c>
      <c r="H45" s="241"/>
      <c r="I45" s="242"/>
      <c r="J45" s="84">
        <v>35000000</v>
      </c>
      <c r="K45" s="89">
        <v>0</v>
      </c>
      <c r="L45" s="90">
        <v>0</v>
      </c>
      <c r="M45" s="36">
        <f t="shared" si="0"/>
        <v>0</v>
      </c>
    </row>
    <row r="46" spans="2:13" ht="71.25" x14ac:dyDescent="0.25">
      <c r="B46" s="9">
        <v>41</v>
      </c>
      <c r="C46" s="15">
        <v>102</v>
      </c>
      <c r="D46" s="30" t="s">
        <v>163</v>
      </c>
      <c r="E46" s="87">
        <v>0</v>
      </c>
      <c r="F46" s="100">
        <v>0.875</v>
      </c>
      <c r="G46" s="101">
        <v>1</v>
      </c>
      <c r="H46" s="238"/>
      <c r="I46" s="240"/>
      <c r="J46" s="84">
        <v>5000000</v>
      </c>
      <c r="K46" s="89">
        <v>0</v>
      </c>
      <c r="L46" s="90">
        <v>0</v>
      </c>
      <c r="M46" s="95">
        <f t="shared" si="0"/>
        <v>114.28571428571428</v>
      </c>
    </row>
    <row r="47" spans="2:13" ht="74.25" customHeight="1" x14ac:dyDescent="0.25">
      <c r="B47" s="9">
        <v>42</v>
      </c>
      <c r="C47" s="15">
        <v>103</v>
      </c>
      <c r="D47" s="41" t="s">
        <v>164</v>
      </c>
      <c r="E47" s="87">
        <v>3</v>
      </c>
      <c r="F47" s="108">
        <v>4</v>
      </c>
      <c r="G47" s="109"/>
      <c r="H47" s="237" t="s">
        <v>165</v>
      </c>
      <c r="I47" s="239" t="s">
        <v>166</v>
      </c>
      <c r="J47" s="88">
        <v>20000000</v>
      </c>
      <c r="K47" s="89">
        <v>0</v>
      </c>
      <c r="L47" s="90">
        <v>0</v>
      </c>
      <c r="M47" s="36">
        <f t="shared" si="0"/>
        <v>0</v>
      </c>
    </row>
    <row r="48" spans="2:13" ht="51.75" customHeight="1" x14ac:dyDescent="0.25">
      <c r="B48" s="9">
        <v>43</v>
      </c>
      <c r="C48" s="15">
        <v>104</v>
      </c>
      <c r="D48" s="41" t="s">
        <v>167</v>
      </c>
      <c r="E48" s="87">
        <v>4</v>
      </c>
      <c r="F48" s="108">
        <v>10</v>
      </c>
      <c r="G48" s="109"/>
      <c r="H48" s="241"/>
      <c r="I48" s="242"/>
      <c r="J48" s="88">
        <v>30000000</v>
      </c>
      <c r="K48" s="89">
        <v>0</v>
      </c>
      <c r="L48" s="90">
        <v>0</v>
      </c>
      <c r="M48" s="36">
        <f t="shared" si="0"/>
        <v>0</v>
      </c>
    </row>
    <row r="49" spans="2:13" ht="108.75" customHeight="1" x14ac:dyDescent="0.25">
      <c r="B49" s="9">
        <v>44</v>
      </c>
      <c r="C49" s="15">
        <v>105</v>
      </c>
      <c r="D49" s="41" t="s">
        <v>168</v>
      </c>
      <c r="E49" s="87">
        <v>43</v>
      </c>
      <c r="F49" s="108">
        <v>44</v>
      </c>
      <c r="G49" s="109"/>
      <c r="H49" s="241"/>
      <c r="I49" s="242"/>
      <c r="J49" s="88">
        <v>30000000</v>
      </c>
      <c r="K49" s="89">
        <v>0</v>
      </c>
      <c r="L49" s="90">
        <v>0</v>
      </c>
      <c r="M49" s="36">
        <f t="shared" si="0"/>
        <v>0</v>
      </c>
    </row>
    <row r="50" spans="2:13" ht="57" x14ac:dyDescent="0.25">
      <c r="B50" s="9">
        <v>45</v>
      </c>
      <c r="C50" s="15">
        <v>106</v>
      </c>
      <c r="D50" s="41" t="s">
        <v>169</v>
      </c>
      <c r="E50" s="87">
        <v>0</v>
      </c>
      <c r="F50" s="108">
        <v>1</v>
      </c>
      <c r="G50" s="109"/>
      <c r="H50" s="241"/>
      <c r="I50" s="242"/>
      <c r="J50" s="88">
        <v>50000000</v>
      </c>
      <c r="K50" s="89">
        <v>0</v>
      </c>
      <c r="L50" s="90">
        <v>0</v>
      </c>
      <c r="M50" s="36">
        <f t="shared" si="0"/>
        <v>0</v>
      </c>
    </row>
    <row r="51" spans="2:13" ht="99" customHeight="1" x14ac:dyDescent="0.25">
      <c r="B51" s="9">
        <v>46</v>
      </c>
      <c r="C51" s="15">
        <v>107</v>
      </c>
      <c r="D51" s="41" t="s">
        <v>170</v>
      </c>
      <c r="E51" s="87">
        <v>1</v>
      </c>
      <c r="F51" s="108">
        <v>1</v>
      </c>
      <c r="G51" s="109"/>
      <c r="H51" s="238"/>
      <c r="I51" s="240"/>
      <c r="J51" s="88">
        <v>50000000</v>
      </c>
      <c r="K51" s="89">
        <v>0</v>
      </c>
      <c r="L51" s="90">
        <v>0</v>
      </c>
      <c r="M51" s="36">
        <f t="shared" si="0"/>
        <v>0</v>
      </c>
    </row>
    <row r="52" spans="2:13" ht="71.25" x14ac:dyDescent="0.25">
      <c r="B52" s="9">
        <v>47</v>
      </c>
      <c r="C52" s="15">
        <v>108</v>
      </c>
      <c r="D52" s="41" t="s">
        <v>171</v>
      </c>
      <c r="E52" s="87">
        <v>4</v>
      </c>
      <c r="F52" s="108">
        <v>4</v>
      </c>
      <c r="G52" s="109"/>
      <c r="H52" s="237" t="s">
        <v>172</v>
      </c>
      <c r="I52" s="239" t="s">
        <v>173</v>
      </c>
      <c r="J52" s="88">
        <v>10000000</v>
      </c>
      <c r="K52" s="89">
        <v>0</v>
      </c>
      <c r="L52" s="90">
        <v>0</v>
      </c>
      <c r="M52" s="36">
        <f t="shared" si="0"/>
        <v>0</v>
      </c>
    </row>
    <row r="53" spans="2:13" ht="84" customHeight="1" x14ac:dyDescent="0.25">
      <c r="B53" s="9">
        <v>48</v>
      </c>
      <c r="C53" s="15">
        <v>109</v>
      </c>
      <c r="D53" s="41" t="s">
        <v>174</v>
      </c>
      <c r="E53" s="87">
        <v>0</v>
      </c>
      <c r="F53" s="108">
        <v>6</v>
      </c>
      <c r="G53" s="110">
        <v>0.2</v>
      </c>
      <c r="H53" s="238"/>
      <c r="I53" s="240"/>
      <c r="J53" s="88">
        <v>70000000</v>
      </c>
      <c r="K53" s="89">
        <v>2000000</v>
      </c>
      <c r="L53" s="90">
        <v>0</v>
      </c>
      <c r="M53" s="36">
        <f t="shared" si="0"/>
        <v>3.3333333333333335</v>
      </c>
    </row>
    <row r="54" spans="2:13" ht="213.75" x14ac:dyDescent="0.25">
      <c r="B54" s="9">
        <v>49</v>
      </c>
      <c r="C54" s="15">
        <v>110</v>
      </c>
      <c r="D54" s="41" t="s">
        <v>175</v>
      </c>
      <c r="E54" s="82">
        <v>180</v>
      </c>
      <c r="F54" s="106">
        <v>183</v>
      </c>
      <c r="G54" s="99">
        <v>0</v>
      </c>
      <c r="H54" s="111" t="s">
        <v>176</v>
      </c>
      <c r="I54" s="112" t="s">
        <v>177</v>
      </c>
      <c r="J54" s="84">
        <f>661085590.45+ 853575840</f>
        <v>1514661430.45</v>
      </c>
      <c r="K54" s="89">
        <v>585122890.55999994</v>
      </c>
      <c r="L54" s="90">
        <v>0</v>
      </c>
      <c r="M54" s="36">
        <f t="shared" si="0"/>
        <v>0</v>
      </c>
    </row>
    <row r="55" spans="2:13" ht="195" x14ac:dyDescent="0.25">
      <c r="B55" s="9">
        <v>50</v>
      </c>
      <c r="C55" s="10">
        <v>111</v>
      </c>
      <c r="D55" s="41" t="s">
        <v>178</v>
      </c>
      <c r="E55" s="113">
        <v>1</v>
      </c>
      <c r="F55" s="113">
        <v>1</v>
      </c>
      <c r="G55" s="114">
        <v>0.60529999999999995</v>
      </c>
      <c r="H55" s="15" t="s">
        <v>179</v>
      </c>
      <c r="I55" s="115" t="s">
        <v>180</v>
      </c>
      <c r="J55" s="84">
        <f>8447064906.89+6544344165.11</f>
        <v>14991409072</v>
      </c>
      <c r="K55" s="85">
        <f>2700090003.04+6536844165.11</f>
        <v>9236934168.1499996</v>
      </c>
      <c r="L55" s="86">
        <f>2682499276.04+6391967596.61</f>
        <v>9074466872.6499996</v>
      </c>
      <c r="M55" s="67">
        <f t="shared" si="0"/>
        <v>60.529999999999994</v>
      </c>
    </row>
    <row r="56" spans="2:13" ht="57" x14ac:dyDescent="0.25">
      <c r="B56" s="9">
        <v>51</v>
      </c>
      <c r="C56" s="10">
        <v>112</v>
      </c>
      <c r="D56" s="41" t="s">
        <v>181</v>
      </c>
      <c r="E56" s="87">
        <v>0</v>
      </c>
      <c r="F56" s="106">
        <v>8</v>
      </c>
      <c r="G56" s="116"/>
      <c r="H56" s="260" t="s">
        <v>182</v>
      </c>
      <c r="I56" s="239" t="s">
        <v>183</v>
      </c>
      <c r="J56" s="97">
        <v>30000000</v>
      </c>
      <c r="K56" s="90">
        <v>0</v>
      </c>
      <c r="L56" s="90">
        <v>0</v>
      </c>
      <c r="M56" s="36">
        <f t="shared" si="0"/>
        <v>0</v>
      </c>
    </row>
    <row r="57" spans="2:13" ht="85.5" x14ac:dyDescent="0.25">
      <c r="B57" s="9">
        <v>52</v>
      </c>
      <c r="C57" s="10">
        <v>113</v>
      </c>
      <c r="D57" s="41" t="s">
        <v>184</v>
      </c>
      <c r="E57" s="87">
        <v>0</v>
      </c>
      <c r="F57" s="106">
        <v>1</v>
      </c>
      <c r="G57" s="117"/>
      <c r="H57" s="261"/>
      <c r="I57" s="240"/>
      <c r="J57" s="97">
        <v>120000000</v>
      </c>
      <c r="K57" s="90">
        <v>0</v>
      </c>
      <c r="L57" s="90">
        <v>0</v>
      </c>
      <c r="M57" s="36">
        <f t="shared" si="0"/>
        <v>0</v>
      </c>
    </row>
    <row r="58" spans="2:13" ht="79.5" customHeight="1" x14ac:dyDescent="0.25">
      <c r="B58" s="9">
        <v>53</v>
      </c>
      <c r="C58" s="10">
        <v>182</v>
      </c>
      <c r="D58" s="41" t="s">
        <v>185</v>
      </c>
      <c r="E58" s="87">
        <v>1</v>
      </c>
      <c r="F58" s="82">
        <v>1</v>
      </c>
      <c r="G58" s="91"/>
      <c r="H58" s="15" t="s">
        <v>186</v>
      </c>
      <c r="I58" s="41" t="s">
        <v>187</v>
      </c>
      <c r="J58" s="88">
        <v>40000000</v>
      </c>
      <c r="K58" s="89">
        <v>0</v>
      </c>
      <c r="L58" s="90">
        <v>0</v>
      </c>
      <c r="M58" s="36">
        <f t="shared" si="0"/>
        <v>0</v>
      </c>
    </row>
    <row r="59" spans="2:13" ht="36" customHeight="1" x14ac:dyDescent="0.25">
      <c r="B59" s="9" t="s">
        <v>36</v>
      </c>
      <c r="C59" s="29"/>
      <c r="D59" s="118" t="s">
        <v>28</v>
      </c>
      <c r="E59" s="119"/>
      <c r="F59" s="119"/>
      <c r="G59" s="119"/>
      <c r="H59" s="119"/>
      <c r="I59" s="119"/>
      <c r="J59" s="120">
        <f>SUM(J8:J58)</f>
        <v>129861643511.28999</v>
      </c>
      <c r="K59" s="120">
        <f t="shared" ref="K59:L59" si="1">SUM(K8:K58)</f>
        <v>85014401890.839996</v>
      </c>
      <c r="L59" s="120">
        <f t="shared" si="1"/>
        <v>77578430403.779999</v>
      </c>
      <c r="M59" s="24"/>
    </row>
    <row r="64" spans="2:13" ht="60" x14ac:dyDescent="0.25">
      <c r="H64" s="20" t="s">
        <v>22</v>
      </c>
      <c r="I64" s="21" t="s">
        <v>23</v>
      </c>
      <c r="J64" s="23" t="s">
        <v>24</v>
      </c>
    </row>
    <row r="65" spans="8:10" x14ac:dyDescent="0.25">
      <c r="H65" s="24" t="s">
        <v>25</v>
      </c>
      <c r="I65" s="9">
        <v>19</v>
      </c>
      <c r="J65" s="121">
        <f>+I65/$G$22*100</f>
        <v>20.87912087912088</v>
      </c>
    </row>
    <row r="66" spans="8:10" x14ac:dyDescent="0.25">
      <c r="H66" s="24" t="s">
        <v>26</v>
      </c>
      <c r="I66" s="9">
        <v>4</v>
      </c>
      <c r="J66" s="121">
        <f>+I66/$G$22*100</f>
        <v>4.395604395604396</v>
      </c>
    </row>
    <row r="67" spans="8:10" x14ac:dyDescent="0.25">
      <c r="H67" s="24" t="s">
        <v>27</v>
      </c>
      <c r="I67" s="9">
        <f>53-23</f>
        <v>30</v>
      </c>
      <c r="J67" s="121">
        <f>+I67/$G$22*100</f>
        <v>32.967032967032964</v>
      </c>
    </row>
    <row r="68" spans="8:10" x14ac:dyDescent="0.25">
      <c r="H68" s="28" t="s">
        <v>28</v>
      </c>
      <c r="I68" s="22">
        <f>SUM(I65:I67)</f>
        <v>53</v>
      </c>
      <c r="J68" s="122">
        <f>+I68/$G$22*100</f>
        <v>58.241758241758248</v>
      </c>
    </row>
  </sheetData>
  <mergeCells count="21">
    <mergeCell ref="H56:H57"/>
    <mergeCell ref="I56:I57"/>
    <mergeCell ref="H42:H46"/>
    <mergeCell ref="I42:I46"/>
    <mergeCell ref="H47:H51"/>
    <mergeCell ref="I47:I51"/>
    <mergeCell ref="H52:H53"/>
    <mergeCell ref="I52:I53"/>
    <mergeCell ref="H18:H25"/>
    <mergeCell ref="I18:I25"/>
    <mergeCell ref="H26:H35"/>
    <mergeCell ref="I26:I35"/>
    <mergeCell ref="H36:H39"/>
    <mergeCell ref="I36:I39"/>
    <mergeCell ref="H11:H16"/>
    <mergeCell ref="I11:I16"/>
    <mergeCell ref="B3:M3"/>
    <mergeCell ref="B4:M4"/>
    <mergeCell ref="B5:M5"/>
    <mergeCell ref="H8:H10"/>
    <mergeCell ref="I8:I10"/>
  </mergeCells>
  <pageMargins left="0.7" right="0.7" top="0.75" bottom="0.75" header="0.3" footer="0.3"/>
  <pageSetup scale="31"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48"/>
  <sheetViews>
    <sheetView zoomScale="80" zoomScaleNormal="80" workbookViewId="0">
      <selection activeCell="J43" sqref="J43"/>
    </sheetView>
  </sheetViews>
  <sheetFormatPr baseColWidth="10" defaultRowHeight="15" x14ac:dyDescent="0.25"/>
  <cols>
    <col min="2" max="2" width="16.85546875" style="4" customWidth="1"/>
    <col min="4" max="4" width="31.140625" customWidth="1"/>
    <col min="8" max="8" width="18.7109375" hidden="1" customWidth="1"/>
    <col min="9" max="9" width="22.28515625" hidden="1" customWidth="1"/>
    <col min="10" max="10" width="25.5703125" customWidth="1"/>
    <col min="11" max="11" width="25.42578125" customWidth="1"/>
    <col min="12" max="12" width="26.85546875" customWidth="1"/>
    <col min="13" max="13" width="26.42578125" style="4" customWidth="1"/>
  </cols>
  <sheetData>
    <row r="2" spans="2:13" ht="18.75" x14ac:dyDescent="0.3">
      <c r="B2" s="81"/>
      <c r="C2" s="2"/>
      <c r="D2" s="2"/>
      <c r="E2" s="2"/>
      <c r="F2" s="2"/>
      <c r="G2" s="2"/>
      <c r="H2" s="2"/>
      <c r="I2" s="2"/>
      <c r="J2" s="3"/>
      <c r="K2" s="3"/>
      <c r="L2" s="3"/>
      <c r="M2" s="1"/>
    </row>
    <row r="3" spans="2:13" ht="18.75" x14ac:dyDescent="0.3">
      <c r="B3" s="236" t="s">
        <v>0</v>
      </c>
      <c r="C3" s="236"/>
      <c r="D3" s="236"/>
      <c r="E3" s="236"/>
      <c r="F3" s="236"/>
      <c r="G3" s="236"/>
      <c r="H3" s="236"/>
      <c r="I3" s="236"/>
      <c r="J3" s="236"/>
      <c r="K3" s="236"/>
      <c r="L3" s="236"/>
      <c r="M3" s="236"/>
    </row>
    <row r="4" spans="2:13" ht="18.75" x14ac:dyDescent="0.3">
      <c r="B4" s="236" t="s">
        <v>204</v>
      </c>
      <c r="C4" s="236"/>
      <c r="D4" s="236"/>
      <c r="E4" s="236"/>
      <c r="F4" s="236"/>
      <c r="G4" s="236"/>
      <c r="H4" s="236"/>
      <c r="I4" s="236"/>
      <c r="J4" s="236"/>
      <c r="K4" s="236"/>
      <c r="L4" s="236"/>
      <c r="M4" s="236"/>
    </row>
    <row r="5" spans="2:13" ht="18.75" x14ac:dyDescent="0.3">
      <c r="B5" s="236" t="s">
        <v>2</v>
      </c>
      <c r="C5" s="236"/>
      <c r="D5" s="236"/>
      <c r="E5" s="236"/>
      <c r="F5" s="236"/>
      <c r="G5" s="236"/>
      <c r="H5" s="236"/>
      <c r="I5" s="236"/>
      <c r="J5" s="236"/>
      <c r="K5" s="236"/>
      <c r="L5" s="236"/>
      <c r="M5" s="236"/>
    </row>
    <row r="6" spans="2:13" ht="60" x14ac:dyDescent="0.25">
      <c r="B6" s="6" t="s">
        <v>3</v>
      </c>
      <c r="C6" s="7" t="s">
        <v>4</v>
      </c>
      <c r="D6" s="7" t="s">
        <v>5</v>
      </c>
      <c r="E6" s="7" t="s">
        <v>6</v>
      </c>
      <c r="F6" s="6" t="s">
        <v>7</v>
      </c>
      <c r="G6" s="6" t="s">
        <v>8</v>
      </c>
      <c r="H6" s="6" t="s">
        <v>9</v>
      </c>
      <c r="I6" s="6" t="s">
        <v>10</v>
      </c>
      <c r="J6" s="6" t="s">
        <v>11</v>
      </c>
      <c r="K6" s="6" t="s">
        <v>12</v>
      </c>
      <c r="L6" s="6" t="s">
        <v>13</v>
      </c>
      <c r="M6" s="8" t="s">
        <v>14</v>
      </c>
    </row>
    <row r="7" spans="2:13" ht="85.5" x14ac:dyDescent="0.25">
      <c r="B7" s="9">
        <v>1</v>
      </c>
      <c r="C7" s="10">
        <v>214</v>
      </c>
      <c r="D7" s="41" t="s">
        <v>205</v>
      </c>
      <c r="E7" s="70" t="s">
        <v>16</v>
      </c>
      <c r="F7" s="13">
        <v>1</v>
      </c>
      <c r="G7" s="145">
        <v>0</v>
      </c>
      <c r="H7" s="252" t="s">
        <v>206</v>
      </c>
      <c r="I7" s="253" t="s">
        <v>207</v>
      </c>
      <c r="J7" s="146">
        <v>308196263.55000001</v>
      </c>
      <c r="K7" s="18">
        <v>0</v>
      </c>
      <c r="L7" s="18">
        <v>0</v>
      </c>
      <c r="M7" s="36">
        <f>+G7/$F$7*100</f>
        <v>0</v>
      </c>
    </row>
    <row r="8" spans="2:13" ht="57" x14ac:dyDescent="0.25">
      <c r="B8" s="9">
        <v>2</v>
      </c>
      <c r="C8" s="75">
        <v>215</v>
      </c>
      <c r="D8" s="11" t="s">
        <v>208</v>
      </c>
      <c r="E8" s="13">
        <v>10</v>
      </c>
      <c r="F8" s="13">
        <v>2</v>
      </c>
      <c r="G8" s="145">
        <v>0</v>
      </c>
      <c r="H8" s="252"/>
      <c r="I8" s="253"/>
      <c r="J8" s="146">
        <v>20000000</v>
      </c>
      <c r="K8" s="18">
        <v>0</v>
      </c>
      <c r="L8" s="18">
        <v>0</v>
      </c>
      <c r="M8" s="36">
        <f t="shared" ref="M8:M38" si="0">+G8/$F$7*100</f>
        <v>0</v>
      </c>
    </row>
    <row r="9" spans="2:13" ht="71.25" x14ac:dyDescent="0.25">
      <c r="B9" s="9">
        <v>3</v>
      </c>
      <c r="C9" s="10">
        <v>216</v>
      </c>
      <c r="D9" s="41" t="s">
        <v>209</v>
      </c>
      <c r="E9" s="147" t="s">
        <v>210</v>
      </c>
      <c r="F9" s="148">
        <v>1</v>
      </c>
      <c r="G9" s="145">
        <v>9.8945810376230819E-2</v>
      </c>
      <c r="H9" s="252"/>
      <c r="I9" s="253"/>
      <c r="J9" s="146">
        <v>3031962635.5</v>
      </c>
      <c r="K9" s="18">
        <v>20200000</v>
      </c>
      <c r="L9" s="18">
        <v>3000000</v>
      </c>
      <c r="M9" s="36">
        <f t="shared" si="0"/>
        <v>9.8945810376230821</v>
      </c>
    </row>
    <row r="10" spans="2:13" ht="85.5" x14ac:dyDescent="0.25">
      <c r="B10" s="9">
        <v>4</v>
      </c>
      <c r="C10" s="10">
        <v>217</v>
      </c>
      <c r="D10" s="41" t="s">
        <v>211</v>
      </c>
      <c r="E10" s="147" t="s">
        <v>210</v>
      </c>
      <c r="F10" s="148" t="s">
        <v>212</v>
      </c>
      <c r="G10" s="145">
        <v>0</v>
      </c>
      <c r="H10" s="252"/>
      <c r="I10" s="253"/>
      <c r="J10" s="146">
        <v>1789177581.3</v>
      </c>
      <c r="K10" s="18">
        <v>105726418</v>
      </c>
      <c r="L10" s="18">
        <v>3000000</v>
      </c>
      <c r="M10" s="36">
        <f t="shared" si="0"/>
        <v>0</v>
      </c>
    </row>
    <row r="11" spans="2:13" ht="28.5" x14ac:dyDescent="0.25">
      <c r="B11" s="9">
        <v>5</v>
      </c>
      <c r="C11" s="10">
        <v>218</v>
      </c>
      <c r="D11" s="30" t="s">
        <v>213</v>
      </c>
      <c r="E11" s="12">
        <v>3</v>
      </c>
      <c r="F11" s="13">
        <v>3</v>
      </c>
      <c r="G11" s="145">
        <v>0</v>
      </c>
      <c r="H11" s="252"/>
      <c r="I11" s="253"/>
      <c r="J11" s="146">
        <v>894588790.64999998</v>
      </c>
      <c r="K11" s="18">
        <v>5600000</v>
      </c>
      <c r="L11" s="18">
        <v>2000000</v>
      </c>
      <c r="M11" s="36">
        <f t="shared" si="0"/>
        <v>0</v>
      </c>
    </row>
    <row r="12" spans="2:13" ht="85.5" x14ac:dyDescent="0.25">
      <c r="B12" s="9">
        <v>6</v>
      </c>
      <c r="C12" s="10">
        <v>219</v>
      </c>
      <c r="D12" s="30" t="s">
        <v>214</v>
      </c>
      <c r="E12" s="12" t="s">
        <v>16</v>
      </c>
      <c r="F12" s="13">
        <v>3</v>
      </c>
      <c r="G12" s="145">
        <v>0</v>
      </c>
      <c r="H12" s="237" t="s">
        <v>215</v>
      </c>
      <c r="I12" s="239" t="s">
        <v>216</v>
      </c>
      <c r="J12" s="146">
        <v>12500000</v>
      </c>
      <c r="K12" s="18">
        <v>0</v>
      </c>
      <c r="L12" s="18">
        <v>0</v>
      </c>
      <c r="M12" s="36">
        <f t="shared" si="0"/>
        <v>0</v>
      </c>
    </row>
    <row r="13" spans="2:13" ht="57" x14ac:dyDescent="0.25">
      <c r="B13" s="9">
        <v>7</v>
      </c>
      <c r="C13" s="10">
        <v>220</v>
      </c>
      <c r="D13" s="30" t="s">
        <v>217</v>
      </c>
      <c r="E13" s="12">
        <v>0</v>
      </c>
      <c r="F13" s="13">
        <v>1</v>
      </c>
      <c r="G13" s="145">
        <v>0</v>
      </c>
      <c r="H13" s="241"/>
      <c r="I13" s="242"/>
      <c r="J13" s="146">
        <v>232500000</v>
      </c>
      <c r="K13" s="18">
        <v>82196663</v>
      </c>
      <c r="L13" s="18">
        <v>0</v>
      </c>
      <c r="M13" s="36">
        <f t="shared" si="0"/>
        <v>0</v>
      </c>
    </row>
    <row r="14" spans="2:13" ht="28.5" x14ac:dyDescent="0.25">
      <c r="B14" s="9">
        <v>8</v>
      </c>
      <c r="C14" s="10">
        <v>221</v>
      </c>
      <c r="D14" s="30" t="s">
        <v>218</v>
      </c>
      <c r="E14" s="12">
        <v>1</v>
      </c>
      <c r="F14" s="13">
        <v>1</v>
      </c>
      <c r="G14" s="145">
        <v>0</v>
      </c>
      <c r="H14" s="241"/>
      <c r="I14" s="242"/>
      <c r="J14" s="146">
        <v>3000000</v>
      </c>
      <c r="K14" s="18">
        <v>0</v>
      </c>
      <c r="L14" s="18">
        <v>0</v>
      </c>
      <c r="M14" s="36">
        <f t="shared" si="0"/>
        <v>0</v>
      </c>
    </row>
    <row r="15" spans="2:13" ht="57" x14ac:dyDescent="0.25">
      <c r="B15" s="9">
        <v>9</v>
      </c>
      <c r="C15" s="10">
        <v>222</v>
      </c>
      <c r="D15" s="30" t="s">
        <v>219</v>
      </c>
      <c r="E15" s="12">
        <v>1</v>
      </c>
      <c r="F15" s="13">
        <v>1</v>
      </c>
      <c r="G15" s="145">
        <v>0</v>
      </c>
      <c r="H15" s="238"/>
      <c r="I15" s="240"/>
      <c r="J15" s="146">
        <v>2000000</v>
      </c>
      <c r="K15" s="18">
        <v>2000000</v>
      </c>
      <c r="L15" s="18">
        <v>0</v>
      </c>
      <c r="M15" s="36">
        <f t="shared" si="0"/>
        <v>0</v>
      </c>
    </row>
    <row r="16" spans="2:13" ht="85.5" customHeight="1" x14ac:dyDescent="0.25">
      <c r="B16" s="9">
        <v>10</v>
      </c>
      <c r="C16" s="10">
        <v>226</v>
      </c>
      <c r="D16" s="30" t="s">
        <v>220</v>
      </c>
      <c r="E16" s="12">
        <v>12</v>
      </c>
      <c r="F16" s="70">
        <v>12</v>
      </c>
      <c r="G16" s="149">
        <v>1</v>
      </c>
      <c r="H16" s="237" t="s">
        <v>221</v>
      </c>
      <c r="I16" s="239" t="s">
        <v>222</v>
      </c>
      <c r="J16" s="16">
        <v>168592000</v>
      </c>
      <c r="K16" s="17">
        <v>38700000</v>
      </c>
      <c r="L16" s="18">
        <v>9400000</v>
      </c>
      <c r="M16" s="36">
        <f>0.0833333333333333*100</f>
        <v>8.3333333333333304</v>
      </c>
    </row>
    <row r="17" spans="2:13" ht="57" x14ac:dyDescent="0.25">
      <c r="B17" s="9">
        <v>11</v>
      </c>
      <c r="C17" s="10">
        <v>227</v>
      </c>
      <c r="D17" s="30" t="s">
        <v>223</v>
      </c>
      <c r="E17" s="12">
        <v>12</v>
      </c>
      <c r="F17" s="70">
        <v>12</v>
      </c>
      <c r="G17" s="149">
        <v>6</v>
      </c>
      <c r="H17" s="241"/>
      <c r="I17" s="242"/>
      <c r="J17" s="16">
        <f>137300000+48962000</f>
        <v>186262000</v>
      </c>
      <c r="K17" s="17">
        <v>48962000</v>
      </c>
      <c r="L17" s="18">
        <v>17830300</v>
      </c>
      <c r="M17" s="67">
        <f>0.5*100</f>
        <v>50</v>
      </c>
    </row>
    <row r="18" spans="2:13" ht="71.25" x14ac:dyDescent="0.25">
      <c r="B18" s="9">
        <v>12</v>
      </c>
      <c r="C18" s="10">
        <v>228</v>
      </c>
      <c r="D18" s="30" t="s">
        <v>224</v>
      </c>
      <c r="E18" s="12">
        <v>2</v>
      </c>
      <c r="F18" s="70">
        <v>2</v>
      </c>
      <c r="G18" s="149">
        <v>0</v>
      </c>
      <c r="H18" s="241"/>
      <c r="I18" s="242"/>
      <c r="J18" s="16">
        <v>29946000</v>
      </c>
      <c r="K18" s="17">
        <v>4000000</v>
      </c>
      <c r="L18" s="18">
        <v>0</v>
      </c>
      <c r="M18" s="36">
        <f t="shared" si="0"/>
        <v>0</v>
      </c>
    </row>
    <row r="19" spans="2:13" ht="71.25" x14ac:dyDescent="0.25">
      <c r="B19" s="9">
        <v>13</v>
      </c>
      <c r="C19" s="10">
        <v>229</v>
      </c>
      <c r="D19" s="30" t="s">
        <v>225</v>
      </c>
      <c r="E19" s="150">
        <v>13</v>
      </c>
      <c r="F19" s="150">
        <v>13</v>
      </c>
      <c r="G19" s="149">
        <v>1</v>
      </c>
      <c r="H19" s="241"/>
      <c r="I19" s="242"/>
      <c r="J19" s="16">
        <f>41700000+10000000</f>
        <v>51700000</v>
      </c>
      <c r="K19" s="17">
        <f>14000000+10000000</f>
        <v>24000000</v>
      </c>
      <c r="L19" s="18">
        <v>10000000</v>
      </c>
      <c r="M19" s="36">
        <f>+G19/F19*100</f>
        <v>7.6923076923076925</v>
      </c>
    </row>
    <row r="20" spans="2:13" ht="85.5" x14ac:dyDescent="0.25">
      <c r="B20" s="9">
        <v>14</v>
      </c>
      <c r="C20" s="10">
        <v>230</v>
      </c>
      <c r="D20" s="30" t="s">
        <v>226</v>
      </c>
      <c r="E20" s="12">
        <v>0</v>
      </c>
      <c r="F20" s="150">
        <v>1</v>
      </c>
      <c r="G20" s="151">
        <v>0</v>
      </c>
      <c r="H20" s="238"/>
      <c r="I20" s="240"/>
      <c r="J20" s="16">
        <v>28500000</v>
      </c>
      <c r="K20" s="17">
        <v>5700000</v>
      </c>
      <c r="L20" s="18">
        <v>0</v>
      </c>
      <c r="M20" s="36">
        <f t="shared" si="0"/>
        <v>0</v>
      </c>
    </row>
    <row r="21" spans="2:13" ht="71.25" customHeight="1" x14ac:dyDescent="0.25">
      <c r="B21" s="9">
        <v>15</v>
      </c>
      <c r="C21" s="10">
        <v>231</v>
      </c>
      <c r="D21" s="30" t="s">
        <v>227</v>
      </c>
      <c r="E21" s="12">
        <v>1</v>
      </c>
      <c r="F21" s="12">
        <v>1</v>
      </c>
      <c r="G21" s="64">
        <v>0</v>
      </c>
      <c r="H21" s="237" t="s">
        <v>228</v>
      </c>
      <c r="I21" s="239" t="s">
        <v>229</v>
      </c>
      <c r="J21" s="146">
        <v>3000000</v>
      </c>
      <c r="K21" s="18">
        <v>0</v>
      </c>
      <c r="L21" s="18">
        <v>0</v>
      </c>
      <c r="M21" s="36">
        <f t="shared" si="0"/>
        <v>0</v>
      </c>
    </row>
    <row r="22" spans="2:13" ht="71.25" x14ac:dyDescent="0.25">
      <c r="B22" s="9">
        <v>16</v>
      </c>
      <c r="C22" s="10">
        <v>232</v>
      </c>
      <c r="D22" s="41" t="s">
        <v>230</v>
      </c>
      <c r="E22" s="12">
        <v>12</v>
      </c>
      <c r="F22" s="12">
        <v>12</v>
      </c>
      <c r="G22" s="152">
        <v>6</v>
      </c>
      <c r="H22" s="241"/>
      <c r="I22" s="242"/>
      <c r="J22" s="146">
        <f>4500000+13900000</f>
        <v>18400000</v>
      </c>
      <c r="K22" s="18">
        <f>4000000+13900000</f>
        <v>17900000</v>
      </c>
      <c r="L22" s="18">
        <v>13900000</v>
      </c>
      <c r="M22" s="67">
        <f>+G22/F22*100</f>
        <v>50</v>
      </c>
    </row>
    <row r="23" spans="2:13" ht="42.75" x14ac:dyDescent="0.25">
      <c r="B23" s="9">
        <v>17</v>
      </c>
      <c r="C23" s="10">
        <v>233</v>
      </c>
      <c r="D23" s="41" t="s">
        <v>231</v>
      </c>
      <c r="E23" s="12">
        <v>1</v>
      </c>
      <c r="F23" s="12">
        <v>1</v>
      </c>
      <c r="G23" s="152">
        <v>0</v>
      </c>
      <c r="H23" s="238"/>
      <c r="I23" s="240"/>
      <c r="J23" s="146">
        <f>9600000+5000000</f>
        <v>14600000</v>
      </c>
      <c r="K23" s="18">
        <f>6500000+5000000</f>
        <v>11500000</v>
      </c>
      <c r="L23" s="18">
        <v>3521500</v>
      </c>
      <c r="M23" s="36">
        <f t="shared" si="0"/>
        <v>0</v>
      </c>
    </row>
    <row r="24" spans="2:13" ht="99.75" x14ac:dyDescent="0.25">
      <c r="B24" s="9">
        <v>18</v>
      </c>
      <c r="C24" s="10">
        <v>234</v>
      </c>
      <c r="D24" s="41" t="s">
        <v>232</v>
      </c>
      <c r="E24" s="70" t="s">
        <v>16</v>
      </c>
      <c r="F24" s="13">
        <v>1</v>
      </c>
      <c r="G24" s="14">
        <v>0</v>
      </c>
      <c r="H24" s="237" t="s">
        <v>233</v>
      </c>
      <c r="I24" s="244" t="s">
        <v>234</v>
      </c>
      <c r="J24" s="146">
        <v>3000000</v>
      </c>
      <c r="K24" s="18">
        <v>3000000</v>
      </c>
      <c r="L24" s="18">
        <v>0</v>
      </c>
      <c r="M24" s="36">
        <f t="shared" si="0"/>
        <v>0</v>
      </c>
    </row>
    <row r="25" spans="2:13" ht="85.5" x14ac:dyDescent="0.25">
      <c r="B25" s="9">
        <v>19</v>
      </c>
      <c r="C25" s="10">
        <v>235</v>
      </c>
      <c r="D25" s="41" t="s">
        <v>235</v>
      </c>
      <c r="E25" s="70" t="s">
        <v>16</v>
      </c>
      <c r="F25" s="13">
        <v>1</v>
      </c>
      <c r="G25" s="14">
        <v>0</v>
      </c>
      <c r="H25" s="238"/>
      <c r="I25" s="246"/>
      <c r="J25" s="146">
        <v>13000000</v>
      </c>
      <c r="K25" s="18">
        <v>1475000</v>
      </c>
      <c r="L25" s="18">
        <v>0</v>
      </c>
      <c r="M25" s="36">
        <f t="shared" si="0"/>
        <v>0</v>
      </c>
    </row>
    <row r="26" spans="2:13" ht="99.75" x14ac:dyDescent="0.25">
      <c r="B26" s="9">
        <v>20</v>
      </c>
      <c r="C26" s="10">
        <v>234</v>
      </c>
      <c r="D26" s="41" t="s">
        <v>232</v>
      </c>
      <c r="E26" s="70" t="s">
        <v>16</v>
      </c>
      <c r="F26" s="13">
        <v>1</v>
      </c>
      <c r="G26" s="14">
        <v>0.77</v>
      </c>
      <c r="H26" s="237" t="s">
        <v>236</v>
      </c>
      <c r="I26" s="244" t="s">
        <v>237</v>
      </c>
      <c r="J26" s="146">
        <v>10000000</v>
      </c>
      <c r="K26" s="18">
        <v>10000000</v>
      </c>
      <c r="L26" s="18">
        <v>10000000</v>
      </c>
      <c r="M26" s="36">
        <f t="shared" si="0"/>
        <v>77</v>
      </c>
    </row>
    <row r="27" spans="2:13" ht="85.5" x14ac:dyDescent="0.25">
      <c r="B27" s="9">
        <v>21</v>
      </c>
      <c r="C27" s="10">
        <v>235</v>
      </c>
      <c r="D27" s="41" t="s">
        <v>235</v>
      </c>
      <c r="E27" s="70" t="s">
        <v>16</v>
      </c>
      <c r="F27" s="13">
        <v>1</v>
      </c>
      <c r="G27" s="126">
        <v>0.43</v>
      </c>
      <c r="H27" s="238"/>
      <c r="I27" s="246"/>
      <c r="J27" s="146">
        <v>10000000</v>
      </c>
      <c r="K27" s="18">
        <v>10000000</v>
      </c>
      <c r="L27" s="18">
        <v>10000000</v>
      </c>
      <c r="M27" s="36">
        <f t="shared" si="0"/>
        <v>43</v>
      </c>
    </row>
    <row r="28" spans="2:13" ht="57" x14ac:dyDescent="0.25">
      <c r="B28" s="9">
        <v>22</v>
      </c>
      <c r="C28" s="10">
        <v>236</v>
      </c>
      <c r="D28" s="41" t="s">
        <v>238</v>
      </c>
      <c r="E28" s="12">
        <v>1</v>
      </c>
      <c r="F28" s="12">
        <v>4</v>
      </c>
      <c r="G28" s="153">
        <v>1</v>
      </c>
      <c r="H28" s="237" t="s">
        <v>239</v>
      </c>
      <c r="I28" s="239" t="s">
        <v>240</v>
      </c>
      <c r="J28" s="146">
        <v>57500000</v>
      </c>
      <c r="K28" s="18">
        <v>5000000</v>
      </c>
      <c r="L28" s="18">
        <v>1250000</v>
      </c>
      <c r="M28" s="36">
        <f>+G28/F28*100</f>
        <v>25</v>
      </c>
    </row>
    <row r="29" spans="2:13" ht="71.25" x14ac:dyDescent="0.25">
      <c r="B29" s="9">
        <v>23</v>
      </c>
      <c r="C29" s="10">
        <v>237</v>
      </c>
      <c r="D29" s="41" t="s">
        <v>241</v>
      </c>
      <c r="E29" s="12" t="s">
        <v>16</v>
      </c>
      <c r="F29" s="12">
        <v>50</v>
      </c>
      <c r="G29" s="153">
        <v>0</v>
      </c>
      <c r="H29" s="241"/>
      <c r="I29" s="242"/>
      <c r="J29" s="146">
        <f>49000000+15200000</f>
        <v>64200000</v>
      </c>
      <c r="K29" s="18">
        <f>10000000+15200000</f>
        <v>25200000</v>
      </c>
      <c r="L29" s="18">
        <f>2500000+15200000</f>
        <v>17700000</v>
      </c>
      <c r="M29" s="36">
        <f t="shared" si="0"/>
        <v>0</v>
      </c>
    </row>
    <row r="30" spans="2:13" ht="114" x14ac:dyDescent="0.25">
      <c r="B30" s="9">
        <v>24</v>
      </c>
      <c r="C30" s="10">
        <v>238</v>
      </c>
      <c r="D30" s="41" t="s">
        <v>242</v>
      </c>
      <c r="E30" s="12" t="s">
        <v>16</v>
      </c>
      <c r="F30" s="12">
        <v>12</v>
      </c>
      <c r="G30" s="153">
        <v>4</v>
      </c>
      <c r="H30" s="241"/>
      <c r="I30" s="242"/>
      <c r="J30" s="146">
        <f>67600000+30000000</f>
        <v>97600000</v>
      </c>
      <c r="K30" s="18">
        <f>7600000+30000000</f>
        <v>37600000</v>
      </c>
      <c r="L30" s="18">
        <f>1900000+30000000</f>
        <v>31900000</v>
      </c>
      <c r="M30" s="36">
        <f>+G30/F30*100</f>
        <v>33.333333333333329</v>
      </c>
    </row>
    <row r="31" spans="2:13" ht="42.75" x14ac:dyDescent="0.25">
      <c r="B31" s="9">
        <v>25</v>
      </c>
      <c r="C31" s="10">
        <v>239</v>
      </c>
      <c r="D31" s="30" t="s">
        <v>243</v>
      </c>
      <c r="E31" s="12" t="s">
        <v>16</v>
      </c>
      <c r="F31" s="13">
        <v>1</v>
      </c>
      <c r="G31" s="136">
        <v>0.02</v>
      </c>
      <c r="H31" s="241"/>
      <c r="I31" s="242"/>
      <c r="J31" s="146">
        <v>60028000</v>
      </c>
      <c r="K31" s="18">
        <v>5000000</v>
      </c>
      <c r="L31" s="18">
        <v>1250000</v>
      </c>
      <c r="M31" s="36">
        <v>0</v>
      </c>
    </row>
    <row r="32" spans="2:13" ht="42.75" x14ac:dyDescent="0.25">
      <c r="B32" s="9">
        <v>26</v>
      </c>
      <c r="C32" s="10">
        <v>240</v>
      </c>
      <c r="D32" s="30" t="s">
        <v>244</v>
      </c>
      <c r="E32" s="12">
        <v>1</v>
      </c>
      <c r="F32" s="13">
        <v>1</v>
      </c>
      <c r="G32" s="145">
        <v>0.36</v>
      </c>
      <c r="H32" s="238"/>
      <c r="I32" s="240"/>
      <c r="J32" s="146">
        <f>80800000+39872000</f>
        <v>120672000</v>
      </c>
      <c r="K32" s="18">
        <f>51400000+39872000</f>
        <v>91272000</v>
      </c>
      <c r="L32" s="18">
        <f>9400000+34045000</f>
        <v>43445000</v>
      </c>
      <c r="M32" s="36">
        <f t="shared" si="0"/>
        <v>36</v>
      </c>
    </row>
    <row r="33" spans="2:13" ht="42.75" x14ac:dyDescent="0.25">
      <c r="B33" s="9">
        <v>27</v>
      </c>
      <c r="C33" s="10">
        <v>241</v>
      </c>
      <c r="D33" s="41" t="s">
        <v>245</v>
      </c>
      <c r="E33" s="70">
        <v>1</v>
      </c>
      <c r="F33" s="70">
        <v>1</v>
      </c>
      <c r="G33" s="154">
        <v>0</v>
      </c>
      <c r="H33" s="237" t="s">
        <v>246</v>
      </c>
      <c r="I33" s="239" t="s">
        <v>247</v>
      </c>
      <c r="J33" s="146">
        <v>45000000</v>
      </c>
      <c r="K33" s="18">
        <v>8800000</v>
      </c>
      <c r="L33" s="18">
        <v>0</v>
      </c>
      <c r="M33" s="36">
        <f t="shared" si="0"/>
        <v>0</v>
      </c>
    </row>
    <row r="34" spans="2:13" ht="57" x14ac:dyDescent="0.25">
      <c r="B34" s="9">
        <v>28</v>
      </c>
      <c r="C34" s="10">
        <v>242</v>
      </c>
      <c r="D34" s="41" t="s">
        <v>248</v>
      </c>
      <c r="E34" s="70">
        <v>1</v>
      </c>
      <c r="F34" s="70">
        <v>1</v>
      </c>
      <c r="G34" s="155">
        <v>0</v>
      </c>
      <c r="H34" s="238"/>
      <c r="I34" s="240"/>
      <c r="J34" s="146">
        <v>35000000</v>
      </c>
      <c r="K34" s="18">
        <v>0</v>
      </c>
      <c r="L34" s="18">
        <v>0</v>
      </c>
      <c r="M34" s="36">
        <f t="shared" si="0"/>
        <v>0</v>
      </c>
    </row>
    <row r="35" spans="2:13" ht="82.5" customHeight="1" x14ac:dyDescent="0.25">
      <c r="B35" s="9">
        <v>29</v>
      </c>
      <c r="C35" s="10">
        <v>247</v>
      </c>
      <c r="D35" s="11" t="s">
        <v>249</v>
      </c>
      <c r="E35" s="12" t="s">
        <v>16</v>
      </c>
      <c r="F35" s="12">
        <v>1</v>
      </c>
      <c r="G35" s="152">
        <v>0</v>
      </c>
      <c r="H35" s="15" t="s">
        <v>250</v>
      </c>
      <c r="I35" s="41" t="s">
        <v>251</v>
      </c>
      <c r="J35" s="146">
        <v>25000000</v>
      </c>
      <c r="K35" s="18">
        <v>12000000</v>
      </c>
      <c r="L35" s="18">
        <v>0</v>
      </c>
      <c r="M35" s="36">
        <f t="shared" si="0"/>
        <v>0</v>
      </c>
    </row>
    <row r="36" spans="2:13" ht="57" customHeight="1" x14ac:dyDescent="0.25">
      <c r="B36" s="9">
        <v>30</v>
      </c>
      <c r="C36" s="10">
        <v>250</v>
      </c>
      <c r="D36" s="30" t="s">
        <v>252</v>
      </c>
      <c r="E36" s="12">
        <v>1</v>
      </c>
      <c r="F36" s="13">
        <v>3</v>
      </c>
      <c r="G36" s="145">
        <v>1</v>
      </c>
      <c r="H36" s="237" t="s">
        <v>253</v>
      </c>
      <c r="I36" s="239" t="s">
        <v>254</v>
      </c>
      <c r="J36" s="146">
        <v>69250000</v>
      </c>
      <c r="K36" s="18">
        <v>23920000</v>
      </c>
      <c r="L36" s="18">
        <v>2700000</v>
      </c>
      <c r="M36" s="36">
        <f t="shared" si="0"/>
        <v>100</v>
      </c>
    </row>
    <row r="37" spans="2:13" ht="57" x14ac:dyDescent="0.25">
      <c r="B37" s="9">
        <v>31</v>
      </c>
      <c r="C37" s="10">
        <v>251</v>
      </c>
      <c r="D37" s="30" t="s">
        <v>255</v>
      </c>
      <c r="E37" s="12">
        <v>0</v>
      </c>
      <c r="F37" s="13">
        <v>1</v>
      </c>
      <c r="G37" s="145">
        <v>0</v>
      </c>
      <c r="H37" s="241"/>
      <c r="I37" s="242"/>
      <c r="J37" s="146">
        <v>205750000</v>
      </c>
      <c r="K37" s="18">
        <v>10870000</v>
      </c>
      <c r="L37" s="18">
        <v>0</v>
      </c>
      <c r="M37" s="36">
        <f t="shared" si="0"/>
        <v>0</v>
      </c>
    </row>
    <row r="38" spans="2:13" ht="132.75" customHeight="1" x14ac:dyDescent="0.25">
      <c r="B38" s="9">
        <v>32</v>
      </c>
      <c r="C38" s="10">
        <v>254</v>
      </c>
      <c r="D38" s="30" t="s">
        <v>256</v>
      </c>
      <c r="E38" s="12">
        <v>0</v>
      </c>
      <c r="F38" s="13">
        <v>1</v>
      </c>
      <c r="G38" s="145">
        <v>0</v>
      </c>
      <c r="H38" s="238"/>
      <c r="I38" s="240"/>
      <c r="J38" s="146">
        <v>25000000</v>
      </c>
      <c r="K38" s="18">
        <v>16700000</v>
      </c>
      <c r="L38" s="18">
        <v>0</v>
      </c>
      <c r="M38" s="36">
        <f t="shared" si="0"/>
        <v>0</v>
      </c>
    </row>
    <row r="39" spans="2:13" ht="149.25" customHeight="1" x14ac:dyDescent="0.25">
      <c r="B39" s="9">
        <v>33</v>
      </c>
      <c r="C39" s="10">
        <v>255</v>
      </c>
      <c r="D39" s="30" t="s">
        <v>257</v>
      </c>
      <c r="E39" s="12">
        <v>12</v>
      </c>
      <c r="F39" s="13">
        <v>12</v>
      </c>
      <c r="G39" s="145">
        <v>3</v>
      </c>
      <c r="H39" s="15" t="s">
        <v>258</v>
      </c>
      <c r="I39" s="11" t="s">
        <v>259</v>
      </c>
      <c r="J39" s="48">
        <f>76685000+3315000</f>
        <v>80000000</v>
      </c>
      <c r="K39" s="49">
        <f>22440000+3315000</f>
        <v>25755000</v>
      </c>
      <c r="L39" s="46">
        <v>3315000</v>
      </c>
      <c r="M39" s="36">
        <f>+G39/F39*100</f>
        <v>25</v>
      </c>
    </row>
    <row r="40" spans="2:13" x14ac:dyDescent="0.25">
      <c r="B40" s="143"/>
      <c r="C40" s="10"/>
      <c r="D40" s="156" t="s">
        <v>28</v>
      </c>
      <c r="E40" s="64"/>
      <c r="F40" s="14"/>
      <c r="G40" s="145"/>
      <c r="H40" s="157"/>
      <c r="I40" s="118"/>
      <c r="J40" s="18">
        <f>SUM(J7:J39)</f>
        <v>7715925271</v>
      </c>
      <c r="K40" s="18">
        <f t="shared" ref="K40:L40" si="1">SUM(K7:K39)</f>
        <v>653077081</v>
      </c>
      <c r="L40" s="18">
        <f t="shared" si="1"/>
        <v>184211800</v>
      </c>
      <c r="M40" s="158"/>
    </row>
    <row r="44" spans="2:13" ht="45" x14ac:dyDescent="0.25">
      <c r="D44" s="159" t="s">
        <v>22</v>
      </c>
      <c r="E44" s="159" t="s">
        <v>23</v>
      </c>
      <c r="F44" s="160" t="s">
        <v>24</v>
      </c>
    </row>
    <row r="45" spans="2:13" x14ac:dyDescent="0.25">
      <c r="D45" s="24" t="s">
        <v>25</v>
      </c>
      <c r="E45" s="143">
        <v>0</v>
      </c>
      <c r="F45" s="143">
        <v>0</v>
      </c>
    </row>
    <row r="46" spans="2:13" x14ac:dyDescent="0.25">
      <c r="D46" s="24" t="s">
        <v>26</v>
      </c>
      <c r="E46" s="143">
        <v>0</v>
      </c>
      <c r="F46" s="143">
        <v>0</v>
      </c>
    </row>
    <row r="47" spans="2:13" x14ac:dyDescent="0.25">
      <c r="D47" s="24" t="s">
        <v>27</v>
      </c>
      <c r="E47" s="143">
        <v>15</v>
      </c>
      <c r="F47" s="143">
        <v>100</v>
      </c>
    </row>
    <row r="48" spans="2:13" x14ac:dyDescent="0.25">
      <c r="D48" s="161" t="s">
        <v>28</v>
      </c>
      <c r="E48" s="158">
        <v>15</v>
      </c>
      <c r="F48" s="158">
        <v>100</v>
      </c>
    </row>
  </sheetData>
  <sheetProtection algorithmName="SHA-512" hashValue="TUw7usLhrwEWkW7Q3oot1PuuFo+BBgw3zESYvrKVaRALqFzdEhhUGb3w4vEfOw0kkyUzGfmQc5AAdluY2ea6ig==" saltValue="3EkzEnCnwBQHQSLNCba3JA==" spinCount="100000" sheet="1" objects="1" scenarios="1"/>
  <mergeCells count="21">
    <mergeCell ref="H36:H38"/>
    <mergeCell ref="I36:I38"/>
    <mergeCell ref="H26:H27"/>
    <mergeCell ref="I26:I27"/>
    <mergeCell ref="H28:H32"/>
    <mergeCell ref="I28:I32"/>
    <mergeCell ref="H33:H34"/>
    <mergeCell ref="I33:I34"/>
    <mergeCell ref="H16:H20"/>
    <mergeCell ref="I16:I20"/>
    <mergeCell ref="H21:H23"/>
    <mergeCell ref="I21:I23"/>
    <mergeCell ref="H24:H25"/>
    <mergeCell ref="I24:I25"/>
    <mergeCell ref="H12:H15"/>
    <mergeCell ref="I12:I15"/>
    <mergeCell ref="B3:M3"/>
    <mergeCell ref="B4:M4"/>
    <mergeCell ref="B5:M5"/>
    <mergeCell ref="H7:H11"/>
    <mergeCell ref="I7:I11"/>
  </mergeCells>
  <pageMargins left="0.7" right="0.7" top="0.75" bottom="0.75" header="0.3" footer="0.3"/>
  <pageSetup scale="3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7"/>
  <sheetViews>
    <sheetView topLeftCell="B1" zoomScale="60" zoomScaleNormal="60" workbookViewId="0">
      <selection activeCell="F49" sqref="F49"/>
    </sheetView>
  </sheetViews>
  <sheetFormatPr baseColWidth="10" defaultRowHeight="15" x14ac:dyDescent="0.25"/>
  <cols>
    <col min="2" max="2" width="21.5703125" style="54" customWidth="1"/>
    <col min="3" max="3" width="11.42578125" style="4"/>
    <col min="4" max="4" width="27.140625" customWidth="1"/>
    <col min="5" max="5" width="17" customWidth="1"/>
    <col min="6" max="6" width="20.85546875" customWidth="1"/>
    <col min="7" max="7" width="21.5703125" customWidth="1"/>
    <col min="8" max="8" width="26" hidden="1" customWidth="1"/>
    <col min="9" max="9" width="25" hidden="1" customWidth="1"/>
    <col min="10" max="10" width="26.28515625" customWidth="1"/>
    <col min="11" max="11" width="26.7109375" customWidth="1"/>
    <col min="12" max="12" width="33" customWidth="1"/>
    <col min="13" max="13" width="32.5703125" style="4" customWidth="1"/>
  </cols>
  <sheetData>
    <row r="1" spans="2:13" ht="18.75" x14ac:dyDescent="0.3">
      <c r="B1" s="81"/>
      <c r="C1" s="1"/>
      <c r="D1" s="2"/>
      <c r="E1" s="2"/>
      <c r="F1" s="2"/>
      <c r="G1" s="2"/>
      <c r="H1" s="2"/>
      <c r="I1" s="2"/>
      <c r="J1" s="3"/>
      <c r="K1" s="3"/>
      <c r="L1" s="3"/>
      <c r="M1" s="1"/>
    </row>
    <row r="2" spans="2:13" ht="18.75" x14ac:dyDescent="0.3">
      <c r="B2" s="236" t="s">
        <v>0</v>
      </c>
      <c r="C2" s="236"/>
      <c r="D2" s="236"/>
      <c r="E2" s="236"/>
      <c r="F2" s="236"/>
      <c r="G2" s="236"/>
      <c r="H2" s="236"/>
      <c r="I2" s="236"/>
      <c r="J2" s="236"/>
      <c r="K2" s="236"/>
      <c r="L2" s="236"/>
      <c r="M2" s="236"/>
    </row>
    <row r="3" spans="2:13" ht="18.75" x14ac:dyDescent="0.3">
      <c r="B3" s="236" t="s">
        <v>407</v>
      </c>
      <c r="C3" s="236"/>
      <c r="D3" s="236"/>
      <c r="E3" s="236"/>
      <c r="F3" s="236"/>
      <c r="G3" s="236"/>
      <c r="H3" s="236"/>
      <c r="I3" s="236"/>
      <c r="J3" s="236"/>
      <c r="K3" s="236"/>
      <c r="L3" s="236"/>
      <c r="M3" s="236"/>
    </row>
    <row r="4" spans="2:13" ht="18.75" x14ac:dyDescent="0.3">
      <c r="B4" s="236" t="s">
        <v>2</v>
      </c>
      <c r="C4" s="236"/>
      <c r="D4" s="236"/>
      <c r="E4" s="236"/>
      <c r="F4" s="236"/>
      <c r="G4" s="236"/>
      <c r="H4" s="236"/>
      <c r="I4" s="236"/>
      <c r="J4" s="236"/>
      <c r="K4" s="236"/>
      <c r="L4" s="236"/>
      <c r="M4" s="236"/>
    </row>
    <row r="5" spans="2:13" ht="97.5" customHeight="1" x14ac:dyDescent="0.25">
      <c r="B5" s="6" t="s">
        <v>3</v>
      </c>
      <c r="C5" s="6" t="s">
        <v>4</v>
      </c>
      <c r="D5" s="7" t="s">
        <v>5</v>
      </c>
      <c r="E5" s="7" t="s">
        <v>6</v>
      </c>
      <c r="F5" s="7" t="s">
        <v>7</v>
      </c>
      <c r="G5" s="7" t="s">
        <v>8</v>
      </c>
      <c r="H5" s="7" t="s">
        <v>9</v>
      </c>
      <c r="I5" s="7" t="s">
        <v>10</v>
      </c>
      <c r="J5" s="6" t="s">
        <v>11</v>
      </c>
      <c r="K5" s="7" t="s">
        <v>12</v>
      </c>
      <c r="L5" s="7" t="s">
        <v>13</v>
      </c>
      <c r="M5" s="8" t="s">
        <v>14</v>
      </c>
    </row>
    <row r="6" spans="2:13" ht="57" customHeight="1" x14ac:dyDescent="0.25">
      <c r="B6" s="9">
        <v>1</v>
      </c>
      <c r="C6" s="103">
        <v>1</v>
      </c>
      <c r="D6" s="41" t="s">
        <v>408</v>
      </c>
      <c r="E6" s="68">
        <v>0</v>
      </c>
      <c r="F6" s="68">
        <v>1</v>
      </c>
      <c r="G6" s="199"/>
      <c r="H6" s="237" t="s">
        <v>409</v>
      </c>
      <c r="I6" s="239" t="s">
        <v>410</v>
      </c>
      <c r="J6" s="209">
        <v>30000000</v>
      </c>
      <c r="K6" s="210">
        <v>0</v>
      </c>
      <c r="L6" s="211">
        <v>0</v>
      </c>
      <c r="M6" s="36">
        <f>+G6/F6*100</f>
        <v>0</v>
      </c>
    </row>
    <row r="7" spans="2:13" ht="57" x14ac:dyDescent="0.25">
      <c r="B7" s="9">
        <v>2</v>
      </c>
      <c r="C7" s="103">
        <v>2</v>
      </c>
      <c r="D7" s="41" t="s">
        <v>411</v>
      </c>
      <c r="E7" s="68">
        <v>3</v>
      </c>
      <c r="F7" s="68">
        <v>4</v>
      </c>
      <c r="G7" s="199"/>
      <c r="H7" s="241"/>
      <c r="I7" s="242"/>
      <c r="J7" s="209">
        <v>10000000</v>
      </c>
      <c r="K7" s="210">
        <v>0</v>
      </c>
      <c r="L7" s="211">
        <v>0</v>
      </c>
      <c r="M7" s="36">
        <f t="shared" ref="M7:M26" si="0">+G7/F7*100</f>
        <v>0</v>
      </c>
    </row>
    <row r="8" spans="2:13" ht="85.5" x14ac:dyDescent="0.25">
      <c r="B8" s="9">
        <v>3</v>
      </c>
      <c r="C8" s="103">
        <v>3</v>
      </c>
      <c r="D8" s="41" t="s">
        <v>412</v>
      </c>
      <c r="E8" s="68">
        <v>1</v>
      </c>
      <c r="F8" s="68">
        <v>1</v>
      </c>
      <c r="G8" s="199"/>
      <c r="H8" s="241"/>
      <c r="I8" s="242"/>
      <c r="J8" s="209">
        <v>15000000</v>
      </c>
      <c r="K8" s="210">
        <v>0</v>
      </c>
      <c r="L8" s="211">
        <v>0</v>
      </c>
      <c r="M8" s="36">
        <f t="shared" si="0"/>
        <v>0</v>
      </c>
    </row>
    <row r="9" spans="2:13" ht="99.75" x14ac:dyDescent="0.25">
      <c r="B9" s="9">
        <v>4</v>
      </c>
      <c r="C9" s="103">
        <v>5</v>
      </c>
      <c r="D9" s="41" t="s">
        <v>413</v>
      </c>
      <c r="E9" s="68">
        <v>3</v>
      </c>
      <c r="F9" s="196">
        <v>1</v>
      </c>
      <c r="G9" s="197">
        <v>1</v>
      </c>
      <c r="H9" s="241"/>
      <c r="I9" s="242"/>
      <c r="J9" s="209">
        <f>0+5000000+5000000</f>
        <v>10000000</v>
      </c>
      <c r="K9" s="210">
        <f>0+5000000+5000000</f>
        <v>10000000</v>
      </c>
      <c r="L9" s="211">
        <f>0+5000000+5000000</f>
        <v>10000000</v>
      </c>
      <c r="M9" s="95">
        <f t="shared" si="0"/>
        <v>100</v>
      </c>
    </row>
    <row r="10" spans="2:13" ht="85.5" x14ac:dyDescent="0.25">
      <c r="B10" s="9">
        <v>5</v>
      </c>
      <c r="C10" s="103">
        <v>6</v>
      </c>
      <c r="D10" s="41" t="s">
        <v>414</v>
      </c>
      <c r="E10" s="68">
        <v>3</v>
      </c>
      <c r="F10" s="68">
        <v>12</v>
      </c>
      <c r="G10" s="199"/>
      <c r="H10" s="238"/>
      <c r="I10" s="240"/>
      <c r="J10" s="209">
        <v>15000000</v>
      </c>
      <c r="K10" s="210">
        <v>0</v>
      </c>
      <c r="L10" s="211">
        <v>0</v>
      </c>
      <c r="M10" s="36">
        <f t="shared" si="0"/>
        <v>0</v>
      </c>
    </row>
    <row r="11" spans="2:13" ht="120.75" customHeight="1" x14ac:dyDescent="0.25">
      <c r="B11" s="9">
        <v>8</v>
      </c>
      <c r="C11" s="103">
        <v>8</v>
      </c>
      <c r="D11" s="41" t="s">
        <v>415</v>
      </c>
      <c r="E11" s="68">
        <v>1</v>
      </c>
      <c r="F11" s="196">
        <v>1</v>
      </c>
      <c r="G11" s="197"/>
      <c r="H11" s="237" t="s">
        <v>416</v>
      </c>
      <c r="I11" s="239" t="s">
        <v>417</v>
      </c>
      <c r="J11" s="209">
        <v>47500000</v>
      </c>
      <c r="K11" s="210">
        <v>5226667</v>
      </c>
      <c r="L11" s="211">
        <v>0</v>
      </c>
      <c r="M11" s="36">
        <f t="shared" si="0"/>
        <v>0</v>
      </c>
    </row>
    <row r="12" spans="2:13" ht="72.75" customHeight="1" x14ac:dyDescent="0.25">
      <c r="B12" s="9">
        <v>9</v>
      </c>
      <c r="C12" s="103">
        <v>7</v>
      </c>
      <c r="D12" s="11" t="s">
        <v>418</v>
      </c>
      <c r="E12" s="68">
        <v>0</v>
      </c>
      <c r="F12" s="196">
        <v>1</v>
      </c>
      <c r="G12" s="197"/>
      <c r="H12" s="238"/>
      <c r="I12" s="240"/>
      <c r="J12" s="209">
        <v>12500000</v>
      </c>
      <c r="K12" s="210">
        <v>5226666</v>
      </c>
      <c r="L12" s="211">
        <v>0</v>
      </c>
      <c r="M12" s="36">
        <f t="shared" si="0"/>
        <v>0</v>
      </c>
    </row>
    <row r="13" spans="2:13" ht="71.25" x14ac:dyDescent="0.25">
      <c r="B13" s="9">
        <v>10</v>
      </c>
      <c r="C13" s="103">
        <v>14</v>
      </c>
      <c r="D13" s="41" t="s">
        <v>419</v>
      </c>
      <c r="E13" s="68">
        <v>2</v>
      </c>
      <c r="F13" s="68">
        <v>6</v>
      </c>
      <c r="G13" s="199">
        <v>1.28</v>
      </c>
      <c r="H13" s="15" t="s">
        <v>420</v>
      </c>
      <c r="I13" s="11" t="s">
        <v>421</v>
      </c>
      <c r="J13" s="209">
        <v>483489550</v>
      </c>
      <c r="K13" s="210">
        <v>248169999</v>
      </c>
      <c r="L13" s="211">
        <v>135400000</v>
      </c>
      <c r="M13" s="36">
        <f t="shared" si="0"/>
        <v>21.333333333333336</v>
      </c>
    </row>
    <row r="14" spans="2:13" ht="85.5" x14ac:dyDescent="0.25">
      <c r="B14" s="9">
        <v>11</v>
      </c>
      <c r="C14" s="103">
        <v>15</v>
      </c>
      <c r="D14" s="225" t="s">
        <v>422</v>
      </c>
      <c r="E14" s="68">
        <v>0</v>
      </c>
      <c r="F14" s="68">
        <v>2</v>
      </c>
      <c r="G14" s="199">
        <v>0.05</v>
      </c>
      <c r="H14" s="241" t="s">
        <v>423</v>
      </c>
      <c r="I14" s="242" t="s">
        <v>424</v>
      </c>
      <c r="J14" s="209">
        <f>197400000+5000000+5000000</f>
        <v>207400000</v>
      </c>
      <c r="K14" s="210">
        <f>0+5000000+5000000</f>
        <v>10000000</v>
      </c>
      <c r="L14" s="211">
        <f>0+5000000+5000000</f>
        <v>10000000</v>
      </c>
      <c r="M14" s="36">
        <f t="shared" si="0"/>
        <v>2.5</v>
      </c>
    </row>
    <row r="15" spans="2:13" ht="85.5" x14ac:dyDescent="0.25">
      <c r="B15" s="9">
        <v>12</v>
      </c>
      <c r="C15" s="103">
        <v>19</v>
      </c>
      <c r="D15" s="41" t="s">
        <v>425</v>
      </c>
      <c r="E15" s="68">
        <v>20</v>
      </c>
      <c r="F15" s="196">
        <v>5</v>
      </c>
      <c r="G15" s="197"/>
      <c r="H15" s="241"/>
      <c r="I15" s="242"/>
      <c r="J15" s="209">
        <v>9200000</v>
      </c>
      <c r="K15" s="210">
        <v>0</v>
      </c>
      <c r="L15" s="211">
        <v>0</v>
      </c>
      <c r="M15" s="36">
        <f t="shared" si="0"/>
        <v>0</v>
      </c>
    </row>
    <row r="16" spans="2:13" ht="99.75" x14ac:dyDescent="0.25">
      <c r="B16" s="9">
        <v>13</v>
      </c>
      <c r="C16" s="103">
        <v>20</v>
      </c>
      <c r="D16" s="41" t="s">
        <v>426</v>
      </c>
      <c r="E16" s="68" t="s">
        <v>16</v>
      </c>
      <c r="F16" s="196">
        <v>50</v>
      </c>
      <c r="G16" s="197"/>
      <c r="H16" s="238"/>
      <c r="I16" s="240"/>
      <c r="J16" s="209">
        <v>9276800</v>
      </c>
      <c r="K16" s="210">
        <v>0</v>
      </c>
      <c r="L16" s="211">
        <v>0</v>
      </c>
      <c r="M16" s="36">
        <f t="shared" si="0"/>
        <v>0</v>
      </c>
    </row>
    <row r="17" spans="2:14" ht="142.5" x14ac:dyDescent="0.25">
      <c r="B17" s="9">
        <v>16</v>
      </c>
      <c r="C17" s="103">
        <v>21</v>
      </c>
      <c r="D17" s="30" t="s">
        <v>427</v>
      </c>
      <c r="E17" s="68">
        <v>20</v>
      </c>
      <c r="F17" s="196">
        <v>100</v>
      </c>
      <c r="G17" s="199">
        <v>3</v>
      </c>
      <c r="H17" s="226" t="s">
        <v>428</v>
      </c>
      <c r="I17" s="132" t="s">
        <v>429</v>
      </c>
      <c r="J17" s="209">
        <f>195000000+5000000</f>
        <v>200000000</v>
      </c>
      <c r="K17" s="210">
        <f>28153332+5000000</f>
        <v>33153332</v>
      </c>
      <c r="L17" s="211">
        <f>0+5000000</f>
        <v>5000000</v>
      </c>
      <c r="M17" s="36">
        <f t="shared" si="0"/>
        <v>3</v>
      </c>
    </row>
    <row r="18" spans="2:14" ht="132" customHeight="1" x14ac:dyDescent="0.25">
      <c r="B18" s="9">
        <v>18</v>
      </c>
      <c r="C18" s="227">
        <v>31</v>
      </c>
      <c r="D18" s="30" t="s">
        <v>430</v>
      </c>
      <c r="E18" s="68" t="s">
        <v>16</v>
      </c>
      <c r="F18" s="196">
        <v>4</v>
      </c>
      <c r="G18" s="228">
        <v>3.89</v>
      </c>
      <c r="H18" s="15" t="s">
        <v>431</v>
      </c>
      <c r="I18" s="41" t="s">
        <v>432</v>
      </c>
      <c r="J18" s="209">
        <f>100000000+10000000</f>
        <v>110000000</v>
      </c>
      <c r="K18" s="210">
        <f>90000000+5570000</f>
        <v>95570000</v>
      </c>
      <c r="L18" s="211">
        <v>89000000</v>
      </c>
      <c r="M18" s="95">
        <f t="shared" si="0"/>
        <v>97.25</v>
      </c>
    </row>
    <row r="19" spans="2:14" ht="83.25" customHeight="1" x14ac:dyDescent="0.25">
      <c r="B19" s="9">
        <v>20</v>
      </c>
      <c r="C19" s="227">
        <v>32</v>
      </c>
      <c r="D19" s="41" t="s">
        <v>433</v>
      </c>
      <c r="E19" s="68" t="s">
        <v>16</v>
      </c>
      <c r="F19" s="196">
        <v>15</v>
      </c>
      <c r="G19" s="197"/>
      <c r="H19" s="241" t="s">
        <v>434</v>
      </c>
      <c r="I19" s="242" t="s">
        <v>435</v>
      </c>
      <c r="J19" s="209">
        <v>150000000</v>
      </c>
      <c r="K19" s="210">
        <v>5570000</v>
      </c>
      <c r="L19" s="211">
        <v>0</v>
      </c>
      <c r="M19" s="36">
        <f t="shared" si="0"/>
        <v>0</v>
      </c>
    </row>
    <row r="20" spans="2:14" ht="81" customHeight="1" x14ac:dyDescent="0.25">
      <c r="B20" s="9">
        <v>21</v>
      </c>
      <c r="C20" s="227">
        <v>33</v>
      </c>
      <c r="D20" s="30" t="s">
        <v>436</v>
      </c>
      <c r="E20" s="68" t="s">
        <v>16</v>
      </c>
      <c r="F20" s="196">
        <v>200</v>
      </c>
      <c r="G20" s="197"/>
      <c r="H20" s="241"/>
      <c r="I20" s="242"/>
      <c r="J20" s="209">
        <v>10000000</v>
      </c>
      <c r="K20" s="210">
        <v>5570000</v>
      </c>
      <c r="L20" s="211">
        <v>0</v>
      </c>
      <c r="M20" s="36">
        <f t="shared" si="0"/>
        <v>0</v>
      </c>
    </row>
    <row r="21" spans="2:14" ht="128.25" x14ac:dyDescent="0.25">
      <c r="B21" s="9">
        <v>22</v>
      </c>
      <c r="C21" s="227">
        <v>34</v>
      </c>
      <c r="D21" s="30" t="s">
        <v>437</v>
      </c>
      <c r="E21" s="68" t="s">
        <v>16</v>
      </c>
      <c r="F21" s="196">
        <v>400</v>
      </c>
      <c r="G21" s="197"/>
      <c r="H21" s="238"/>
      <c r="I21" s="240"/>
      <c r="J21" s="209">
        <v>10000000</v>
      </c>
      <c r="K21" s="210">
        <v>5569999</v>
      </c>
      <c r="L21" s="211">
        <v>0</v>
      </c>
      <c r="M21" s="36">
        <f t="shared" si="0"/>
        <v>0</v>
      </c>
    </row>
    <row r="22" spans="2:14" ht="159" customHeight="1" x14ac:dyDescent="0.25">
      <c r="B22" s="9">
        <v>23</v>
      </c>
      <c r="C22" s="103">
        <v>35</v>
      </c>
      <c r="D22" s="30" t="s">
        <v>438</v>
      </c>
      <c r="E22" s="68">
        <v>0</v>
      </c>
      <c r="F22" s="196">
        <v>1</v>
      </c>
      <c r="G22" s="199">
        <v>0.79</v>
      </c>
      <c r="H22" s="15" t="s">
        <v>439</v>
      </c>
      <c r="I22" s="229" t="s">
        <v>440</v>
      </c>
      <c r="J22" s="209">
        <f>79000000+5000000+28000000</f>
        <v>112000000</v>
      </c>
      <c r="K22" s="210">
        <f>5000000+19100000+79000000</f>
        <v>103100000</v>
      </c>
      <c r="L22" s="211">
        <f>5000000+60000000</f>
        <v>65000000</v>
      </c>
      <c r="M22" s="67">
        <f t="shared" si="0"/>
        <v>79</v>
      </c>
      <c r="N22" s="230"/>
    </row>
    <row r="23" spans="2:14" ht="99.75" customHeight="1" x14ac:dyDescent="0.25">
      <c r="B23" s="9">
        <v>26</v>
      </c>
      <c r="C23" s="103">
        <v>36</v>
      </c>
      <c r="D23" s="41" t="s">
        <v>441</v>
      </c>
      <c r="E23" s="68">
        <v>0</v>
      </c>
      <c r="F23" s="196">
        <v>1</v>
      </c>
      <c r="G23" s="201">
        <v>0</v>
      </c>
      <c r="H23" s="225" t="s">
        <v>442</v>
      </c>
      <c r="I23" s="225" t="s">
        <v>443</v>
      </c>
      <c r="J23" s="209">
        <v>28000000</v>
      </c>
      <c r="K23" s="210">
        <v>19100000</v>
      </c>
      <c r="L23" s="211">
        <v>0</v>
      </c>
      <c r="M23" s="36">
        <f t="shared" si="0"/>
        <v>0</v>
      </c>
    </row>
    <row r="24" spans="2:14" ht="82.5" customHeight="1" x14ac:dyDescent="0.25">
      <c r="B24" s="9">
        <v>27</v>
      </c>
      <c r="C24" s="15">
        <v>122</v>
      </c>
      <c r="D24" s="41" t="s">
        <v>444</v>
      </c>
      <c r="E24" s="68">
        <v>0</v>
      </c>
      <c r="F24" s="196">
        <v>1</v>
      </c>
      <c r="G24" s="197"/>
      <c r="H24" s="237" t="s">
        <v>445</v>
      </c>
      <c r="I24" s="239" t="s">
        <v>446</v>
      </c>
      <c r="J24" s="209">
        <v>95000000</v>
      </c>
      <c r="K24" s="210">
        <v>18684889</v>
      </c>
      <c r="L24" s="211">
        <v>0</v>
      </c>
      <c r="M24" s="36">
        <f t="shared" si="0"/>
        <v>0</v>
      </c>
    </row>
    <row r="25" spans="2:14" ht="102" customHeight="1" x14ac:dyDescent="0.25">
      <c r="B25" s="9">
        <v>28</v>
      </c>
      <c r="C25" s="15">
        <v>123</v>
      </c>
      <c r="D25" s="41" t="s">
        <v>447</v>
      </c>
      <c r="E25" s="68">
        <v>0</v>
      </c>
      <c r="F25" s="196">
        <v>1</v>
      </c>
      <c r="G25" s="197"/>
      <c r="H25" s="238"/>
      <c r="I25" s="240"/>
      <c r="J25" s="209">
        <v>360000000</v>
      </c>
      <c r="K25" s="210">
        <v>18684888</v>
      </c>
      <c r="L25" s="211">
        <v>0</v>
      </c>
      <c r="M25" s="36">
        <f t="shared" si="0"/>
        <v>0</v>
      </c>
    </row>
    <row r="26" spans="2:14" ht="96" customHeight="1" x14ac:dyDescent="0.25">
      <c r="B26" s="231">
        <v>29</v>
      </c>
      <c r="C26" s="226">
        <v>125</v>
      </c>
      <c r="D26" s="232" t="s">
        <v>448</v>
      </c>
      <c r="E26" s="134">
        <v>1200</v>
      </c>
      <c r="F26" s="233">
        <v>1200</v>
      </c>
      <c r="G26" s="137">
        <v>166</v>
      </c>
      <c r="H26" s="226" t="s">
        <v>449</v>
      </c>
      <c r="I26" s="132" t="s">
        <v>450</v>
      </c>
      <c r="J26" s="218">
        <v>5000000</v>
      </c>
      <c r="K26" s="219">
        <v>5000000</v>
      </c>
      <c r="L26" s="220">
        <v>4500000</v>
      </c>
      <c r="M26" s="36">
        <f t="shared" si="0"/>
        <v>13.833333333333334</v>
      </c>
    </row>
    <row r="27" spans="2:14" ht="57.75" customHeight="1" x14ac:dyDescent="0.25">
      <c r="B27" s="9"/>
      <c r="C27" s="143"/>
      <c r="D27" s="24" t="s">
        <v>51</v>
      </c>
      <c r="E27" s="24"/>
      <c r="F27" s="24"/>
      <c r="G27" s="24"/>
      <c r="H27" s="24"/>
      <c r="I27" s="24"/>
      <c r="J27" s="120">
        <f>SUM(J6:J26)</f>
        <v>1929366350</v>
      </c>
      <c r="K27" s="120">
        <f t="shared" ref="K27:L27" si="1">SUM(K6:K26)</f>
        <v>588626440</v>
      </c>
      <c r="L27" s="120">
        <f t="shared" si="1"/>
        <v>318900000</v>
      </c>
      <c r="M27" s="78" t="s">
        <v>36</v>
      </c>
    </row>
    <row r="32" spans="2:14" ht="63.75" customHeight="1" x14ac:dyDescent="0.25">
      <c r="D32" s="20" t="s">
        <v>22</v>
      </c>
      <c r="E32" s="21" t="s">
        <v>23</v>
      </c>
      <c r="F32" s="22" t="s">
        <v>24</v>
      </c>
      <c r="H32" s="234"/>
    </row>
    <row r="33" spans="4:8" x14ac:dyDescent="0.25">
      <c r="D33" s="24" t="s">
        <v>25</v>
      </c>
      <c r="E33" s="9">
        <v>2</v>
      </c>
      <c r="F33" s="78">
        <f>+E33/$E$36*100</f>
        <v>6.8965517241379306</v>
      </c>
      <c r="H33" s="203"/>
    </row>
    <row r="34" spans="4:8" x14ac:dyDescent="0.25">
      <c r="D34" s="24" t="s">
        <v>26</v>
      </c>
      <c r="E34" s="9">
        <v>1</v>
      </c>
      <c r="F34" s="78">
        <f t="shared" ref="F34:F36" si="2">+E34/$E$36*100</f>
        <v>3.4482758620689653</v>
      </c>
      <c r="H34" s="203"/>
    </row>
    <row r="35" spans="4:8" x14ac:dyDescent="0.25">
      <c r="D35" s="24" t="s">
        <v>27</v>
      </c>
      <c r="E35" s="9">
        <v>26</v>
      </c>
      <c r="F35" s="78">
        <f t="shared" si="2"/>
        <v>89.65517241379311</v>
      </c>
      <c r="H35" s="203"/>
    </row>
    <row r="36" spans="4:8" x14ac:dyDescent="0.25">
      <c r="D36" s="28" t="s">
        <v>28</v>
      </c>
      <c r="E36" s="22">
        <f>SUM(E33:E35)</f>
        <v>29</v>
      </c>
      <c r="F36" s="78">
        <f t="shared" si="2"/>
        <v>100</v>
      </c>
      <c r="H36" s="203"/>
    </row>
    <row r="37" spans="4:8" x14ac:dyDescent="0.25">
      <c r="E37" s="54"/>
      <c r="H37" s="5"/>
    </row>
  </sheetData>
  <sheetProtection algorithmName="SHA-512" hashValue="Uqo9jQXQg+IV0DWDd5Gg7GchS1HGGGPhWfXXNJtN1LoXZUIO2qjMW+jDnoX1dnnb0c5cY0bX3iXrlAHHllmOqQ==" saltValue="h8uIApsMF5pg7WzRubfNfg==" spinCount="100000" sheet="1" objects="1" scenarios="1"/>
  <mergeCells count="13">
    <mergeCell ref="H14:H16"/>
    <mergeCell ref="I14:I16"/>
    <mergeCell ref="H19:H21"/>
    <mergeCell ref="I19:I21"/>
    <mergeCell ref="H24:H25"/>
    <mergeCell ref="I24:I25"/>
    <mergeCell ref="H11:H12"/>
    <mergeCell ref="I11:I12"/>
    <mergeCell ref="B2:M2"/>
    <mergeCell ref="B3:M3"/>
    <mergeCell ref="B4:M4"/>
    <mergeCell ref="H6:H10"/>
    <mergeCell ref="I6:I10"/>
  </mergeCells>
  <pageMargins left="0.7" right="0.7" top="0.75" bottom="0.75" header="0.3" footer="0.3"/>
  <pageSetup scale="3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37"/>
  <sheetViews>
    <sheetView topLeftCell="C1" zoomScale="60" zoomScaleNormal="60" workbookViewId="0">
      <selection activeCell="D26" sqref="D26"/>
    </sheetView>
  </sheetViews>
  <sheetFormatPr baseColWidth="10" defaultRowHeight="15" x14ac:dyDescent="0.25"/>
  <cols>
    <col min="3" max="3" width="19.85546875" style="4" customWidth="1"/>
    <col min="4" max="4" width="29.42578125" customWidth="1"/>
    <col min="5" max="5" width="20.85546875" customWidth="1"/>
    <col min="6" max="6" width="26.28515625" customWidth="1"/>
    <col min="7" max="7" width="19.5703125" style="4" customWidth="1"/>
    <col min="8" max="8" width="19.42578125" customWidth="1"/>
    <col min="9" max="9" width="28.5703125" customWidth="1"/>
    <col min="10" max="10" width="27.140625" customWidth="1"/>
    <col min="11" max="11" width="29" customWidth="1"/>
    <col min="12" max="12" width="26" customWidth="1"/>
    <col min="13" max="13" width="24.7109375" customWidth="1"/>
  </cols>
  <sheetData>
    <row r="3" spans="2:13" ht="18.75" x14ac:dyDescent="0.3">
      <c r="B3" s="236" t="s">
        <v>0</v>
      </c>
      <c r="C3" s="236"/>
      <c r="D3" s="236"/>
      <c r="E3" s="236"/>
      <c r="F3" s="236"/>
      <c r="G3" s="236"/>
      <c r="H3" s="236"/>
      <c r="I3" s="236"/>
      <c r="J3" s="236"/>
      <c r="K3" s="236"/>
      <c r="L3" s="236"/>
      <c r="M3" s="236"/>
    </row>
    <row r="4" spans="2:13" ht="18.75" x14ac:dyDescent="0.3">
      <c r="B4" s="236" t="s">
        <v>357</v>
      </c>
      <c r="C4" s="236"/>
      <c r="D4" s="236"/>
      <c r="E4" s="236"/>
      <c r="F4" s="236"/>
      <c r="G4" s="236"/>
      <c r="H4" s="236"/>
      <c r="I4" s="236"/>
      <c r="J4" s="236"/>
      <c r="K4" s="236"/>
      <c r="L4" s="236"/>
      <c r="M4" s="236"/>
    </row>
    <row r="5" spans="2:13" ht="18.75" x14ac:dyDescent="0.3">
      <c r="B5" s="236" t="s">
        <v>2</v>
      </c>
      <c r="C5" s="236"/>
      <c r="D5" s="236"/>
      <c r="E5" s="236"/>
      <c r="F5" s="236"/>
      <c r="G5" s="236"/>
      <c r="H5" s="236"/>
      <c r="I5" s="236"/>
      <c r="J5" s="236"/>
      <c r="K5" s="236"/>
      <c r="L5" s="236"/>
      <c r="M5" s="236"/>
    </row>
    <row r="6" spans="2:13" x14ac:dyDescent="0.25">
      <c r="B6" s="4"/>
      <c r="J6" s="5"/>
      <c r="K6" s="5"/>
      <c r="L6" s="5"/>
    </row>
    <row r="7" spans="2:13" ht="132" customHeight="1" x14ac:dyDescent="0.25">
      <c r="B7" s="6" t="s">
        <v>3</v>
      </c>
      <c r="C7" s="6" t="s">
        <v>4</v>
      </c>
      <c r="D7" s="7" t="s">
        <v>5</v>
      </c>
      <c r="E7" s="7" t="s">
        <v>6</v>
      </c>
      <c r="F7" s="7" t="s">
        <v>7</v>
      </c>
      <c r="G7" s="6" t="s">
        <v>8</v>
      </c>
      <c r="H7" s="7" t="s">
        <v>9</v>
      </c>
      <c r="I7" s="7" t="s">
        <v>10</v>
      </c>
      <c r="J7" s="6" t="s">
        <v>11</v>
      </c>
      <c r="K7" s="7" t="s">
        <v>12</v>
      </c>
      <c r="L7" s="7" t="s">
        <v>13</v>
      </c>
      <c r="M7" s="8" t="s">
        <v>14</v>
      </c>
    </row>
    <row r="8" spans="2:13" ht="99.75" x14ac:dyDescent="0.25">
      <c r="B8" s="9">
        <v>1</v>
      </c>
      <c r="C8" s="204">
        <v>180</v>
      </c>
      <c r="D8" s="41" t="s">
        <v>358</v>
      </c>
      <c r="E8" s="15">
        <v>0</v>
      </c>
      <c r="F8" s="103">
        <v>1</v>
      </c>
      <c r="G8" s="205"/>
      <c r="H8" s="237" t="s">
        <v>359</v>
      </c>
      <c r="I8" s="239" t="s">
        <v>360</v>
      </c>
      <c r="J8" s="88">
        <v>47500000</v>
      </c>
      <c r="K8" s="89">
        <v>0</v>
      </c>
      <c r="L8" s="90">
        <v>0</v>
      </c>
      <c r="M8" s="36">
        <f>+G8/F8*100</f>
        <v>0</v>
      </c>
    </row>
    <row r="9" spans="2:13" ht="57" x14ac:dyDescent="0.25">
      <c r="B9" s="9">
        <v>2</v>
      </c>
      <c r="C9" s="204">
        <v>181</v>
      </c>
      <c r="D9" s="41" t="s">
        <v>361</v>
      </c>
      <c r="E9" s="15">
        <v>6</v>
      </c>
      <c r="F9" s="103">
        <v>6</v>
      </c>
      <c r="G9" s="205"/>
      <c r="H9" s="238"/>
      <c r="I9" s="240"/>
      <c r="J9" s="88">
        <v>12500000</v>
      </c>
      <c r="K9" s="89">
        <v>5333333</v>
      </c>
      <c r="L9" s="90">
        <v>0</v>
      </c>
      <c r="M9" s="36">
        <f t="shared" ref="M9:M26" si="0">+G9/F9*100</f>
        <v>0</v>
      </c>
    </row>
    <row r="10" spans="2:13" ht="239.25" customHeight="1" x14ac:dyDescent="0.25">
      <c r="B10" s="9">
        <v>3</v>
      </c>
      <c r="C10" s="204">
        <v>183</v>
      </c>
      <c r="D10" s="41" t="s">
        <v>362</v>
      </c>
      <c r="E10" s="42">
        <v>0</v>
      </c>
      <c r="F10" s="42">
        <v>1</v>
      </c>
      <c r="G10" s="47">
        <v>1.18</v>
      </c>
      <c r="H10" s="15" t="s">
        <v>363</v>
      </c>
      <c r="I10" s="11" t="s">
        <v>364</v>
      </c>
      <c r="J10" s="88">
        <f>73000000+17000000</f>
        <v>90000000</v>
      </c>
      <c r="K10" s="89">
        <f>0+17000000</f>
        <v>17000000</v>
      </c>
      <c r="L10" s="90">
        <f>0+16000000</f>
        <v>16000000</v>
      </c>
      <c r="M10" s="36">
        <f t="shared" si="0"/>
        <v>118</v>
      </c>
    </row>
    <row r="11" spans="2:13" ht="159" customHeight="1" x14ac:dyDescent="0.25">
      <c r="B11" s="9">
        <v>4</v>
      </c>
      <c r="C11" s="204">
        <v>184</v>
      </c>
      <c r="D11" s="41" t="s">
        <v>365</v>
      </c>
      <c r="E11" s="42">
        <v>1</v>
      </c>
      <c r="F11" s="42">
        <v>1</v>
      </c>
      <c r="G11" s="71">
        <v>0.5</v>
      </c>
      <c r="H11" s="15" t="s">
        <v>366</v>
      </c>
      <c r="I11" s="41" t="s">
        <v>367</v>
      </c>
      <c r="J11" s="84">
        <f>6500000+6000000+12500000</f>
        <v>25000000</v>
      </c>
      <c r="K11" s="85">
        <f>6500000+ 6000000+12500000</f>
        <v>25000000</v>
      </c>
      <c r="L11" s="86">
        <f>6500000+6000000</f>
        <v>12500000</v>
      </c>
      <c r="M11" s="36">
        <f t="shared" si="0"/>
        <v>50</v>
      </c>
    </row>
    <row r="12" spans="2:13" ht="228" customHeight="1" x14ac:dyDescent="0.25">
      <c r="B12" s="9">
        <v>5</v>
      </c>
      <c r="C12" s="204">
        <v>186</v>
      </c>
      <c r="D12" s="41" t="s">
        <v>368</v>
      </c>
      <c r="E12" s="42" t="s">
        <v>16</v>
      </c>
      <c r="F12" s="42">
        <v>1</v>
      </c>
      <c r="G12" s="47">
        <v>0.48</v>
      </c>
      <c r="H12" s="15" t="s">
        <v>369</v>
      </c>
      <c r="I12" s="11" t="s">
        <v>370</v>
      </c>
      <c r="J12" s="88">
        <f>10000000+1000000+17500000</f>
        <v>28500000</v>
      </c>
      <c r="K12" s="89">
        <f>10000000+1000000+10000000</f>
        <v>21000000</v>
      </c>
      <c r="L12" s="90">
        <f>10000000+1000000+2777778</f>
        <v>13777778</v>
      </c>
      <c r="M12" s="36">
        <f t="shared" si="0"/>
        <v>48</v>
      </c>
    </row>
    <row r="13" spans="2:13" ht="57" x14ac:dyDescent="0.25">
      <c r="B13" s="9">
        <v>6</v>
      </c>
      <c r="C13" s="204">
        <v>185</v>
      </c>
      <c r="D13" s="41" t="s">
        <v>371</v>
      </c>
      <c r="E13" s="42" t="s">
        <v>16</v>
      </c>
      <c r="F13" s="42">
        <v>1</v>
      </c>
      <c r="G13" s="47"/>
      <c r="H13" s="206" t="s">
        <v>372</v>
      </c>
      <c r="I13" s="207" t="s">
        <v>373</v>
      </c>
      <c r="J13" s="97">
        <v>16500000</v>
      </c>
      <c r="K13" s="90">
        <v>7000000</v>
      </c>
      <c r="L13" s="90">
        <v>0</v>
      </c>
      <c r="M13" s="36">
        <f t="shared" si="0"/>
        <v>0</v>
      </c>
    </row>
    <row r="14" spans="2:13" ht="42.75" x14ac:dyDescent="0.25">
      <c r="B14" s="9">
        <v>7</v>
      </c>
      <c r="C14" s="204">
        <v>187</v>
      </c>
      <c r="D14" s="41" t="s">
        <v>374</v>
      </c>
      <c r="E14" s="42">
        <v>1</v>
      </c>
      <c r="F14" s="42">
        <v>1</v>
      </c>
      <c r="G14" s="208">
        <v>0.04</v>
      </c>
      <c r="H14" s="237" t="s">
        <v>375</v>
      </c>
      <c r="I14" s="239" t="s">
        <v>376</v>
      </c>
      <c r="J14" s="209">
        <v>74350000</v>
      </c>
      <c r="K14" s="210">
        <v>10000000</v>
      </c>
      <c r="L14" s="211">
        <v>2777778</v>
      </c>
      <c r="M14" s="36">
        <f t="shared" si="0"/>
        <v>4</v>
      </c>
    </row>
    <row r="15" spans="2:13" ht="85.5" x14ac:dyDescent="0.25">
      <c r="B15" s="9">
        <v>8</v>
      </c>
      <c r="C15" s="204">
        <v>189</v>
      </c>
      <c r="D15" s="41" t="s">
        <v>377</v>
      </c>
      <c r="E15" s="42" t="s">
        <v>16</v>
      </c>
      <c r="F15" s="42">
        <v>1</v>
      </c>
      <c r="G15" s="47">
        <v>0.67</v>
      </c>
      <c r="H15" s="238"/>
      <c r="I15" s="240"/>
      <c r="J15" s="209">
        <f>40000000+19000000+10000000</f>
        <v>69000000</v>
      </c>
      <c r="K15" s="210">
        <v>39000000</v>
      </c>
      <c r="L15" s="211">
        <v>19500000</v>
      </c>
      <c r="M15" s="67">
        <f t="shared" si="0"/>
        <v>67</v>
      </c>
    </row>
    <row r="16" spans="2:13" ht="85.5" x14ac:dyDescent="0.25">
      <c r="B16" s="9">
        <v>9</v>
      </c>
      <c r="C16" s="204">
        <v>188</v>
      </c>
      <c r="D16" s="41" t="s">
        <v>378</v>
      </c>
      <c r="E16" s="42" t="s">
        <v>16</v>
      </c>
      <c r="F16" s="42">
        <v>2</v>
      </c>
      <c r="G16" s="212">
        <v>0</v>
      </c>
      <c r="H16" s="15" t="s">
        <v>379</v>
      </c>
      <c r="I16" s="41" t="s">
        <v>380</v>
      </c>
      <c r="J16" s="209">
        <v>31650000</v>
      </c>
      <c r="K16" s="210">
        <v>6650000</v>
      </c>
      <c r="L16" s="211">
        <v>1900000</v>
      </c>
      <c r="M16" s="36">
        <f t="shared" si="0"/>
        <v>0</v>
      </c>
    </row>
    <row r="17" spans="2:13" ht="199.5" x14ac:dyDescent="0.25">
      <c r="B17" s="9">
        <v>10</v>
      </c>
      <c r="C17" s="204">
        <v>190</v>
      </c>
      <c r="D17" s="41" t="s">
        <v>381</v>
      </c>
      <c r="E17" s="68">
        <v>1</v>
      </c>
      <c r="F17" s="68">
        <v>1</v>
      </c>
      <c r="G17" s="71">
        <v>0.19592592222222222</v>
      </c>
      <c r="H17" s="15" t="s">
        <v>382</v>
      </c>
      <c r="I17" s="11" t="s">
        <v>383</v>
      </c>
      <c r="J17" s="209">
        <v>180000000</v>
      </c>
      <c r="K17" s="210">
        <v>64900000</v>
      </c>
      <c r="L17" s="211">
        <v>35266666</v>
      </c>
      <c r="M17" s="36">
        <f t="shared" si="0"/>
        <v>19.592592222222223</v>
      </c>
    </row>
    <row r="18" spans="2:13" ht="128.25" x14ac:dyDescent="0.25">
      <c r="B18" s="9">
        <v>11</v>
      </c>
      <c r="C18" s="204">
        <v>191</v>
      </c>
      <c r="D18" s="41" t="s">
        <v>384</v>
      </c>
      <c r="E18" s="15" t="s">
        <v>16</v>
      </c>
      <c r="F18" s="15">
        <v>1</v>
      </c>
      <c r="G18" s="157"/>
      <c r="H18" s="15" t="s">
        <v>385</v>
      </c>
      <c r="I18" s="41" t="s">
        <v>386</v>
      </c>
      <c r="J18" s="209">
        <v>85000000</v>
      </c>
      <c r="K18" s="210">
        <v>0</v>
      </c>
      <c r="L18" s="211">
        <v>0</v>
      </c>
      <c r="M18" s="36">
        <f t="shared" si="0"/>
        <v>0</v>
      </c>
    </row>
    <row r="19" spans="2:13" ht="242.25" x14ac:dyDescent="0.25">
      <c r="B19" s="9">
        <v>12</v>
      </c>
      <c r="C19" s="204">
        <v>192</v>
      </c>
      <c r="D19" s="63" t="s">
        <v>387</v>
      </c>
      <c r="E19" s="15">
        <v>1</v>
      </c>
      <c r="F19" s="15">
        <v>1</v>
      </c>
      <c r="G19" s="71">
        <v>0.18</v>
      </c>
      <c r="H19" s="15" t="s">
        <v>388</v>
      </c>
      <c r="I19" s="41" t="s">
        <v>389</v>
      </c>
      <c r="J19" s="209">
        <f>51200000+5000000+3800000</f>
        <v>60000000</v>
      </c>
      <c r="K19" s="210">
        <f>7600000+5000000+3800000</f>
        <v>16400000</v>
      </c>
      <c r="L19" s="211">
        <f>2111111+3800000+5000000</f>
        <v>10911111</v>
      </c>
      <c r="M19" s="36">
        <f t="shared" si="0"/>
        <v>18</v>
      </c>
    </row>
    <row r="20" spans="2:13" ht="152.25" customHeight="1" x14ac:dyDescent="0.25">
      <c r="B20" s="9">
        <v>13</v>
      </c>
      <c r="C20" s="204">
        <v>193</v>
      </c>
      <c r="D20" s="41" t="s">
        <v>390</v>
      </c>
      <c r="E20" s="15">
        <v>1</v>
      </c>
      <c r="F20" s="15">
        <v>1</v>
      </c>
      <c r="G20" s="157"/>
      <c r="H20" s="15" t="s">
        <v>391</v>
      </c>
      <c r="I20" s="41" t="s">
        <v>392</v>
      </c>
      <c r="J20" s="209">
        <f>40000000+60000000</f>
        <v>100000000</v>
      </c>
      <c r="K20" s="210">
        <v>0</v>
      </c>
      <c r="L20" s="211">
        <v>0</v>
      </c>
      <c r="M20" s="36">
        <f t="shared" si="0"/>
        <v>0</v>
      </c>
    </row>
    <row r="21" spans="2:13" ht="193.5" customHeight="1" x14ac:dyDescent="0.25">
      <c r="B21" s="9">
        <v>14</v>
      </c>
      <c r="C21" s="204">
        <v>195</v>
      </c>
      <c r="D21" s="41" t="s">
        <v>393</v>
      </c>
      <c r="E21" s="15">
        <v>0</v>
      </c>
      <c r="F21" s="15">
        <v>1</v>
      </c>
      <c r="G21" s="69">
        <v>0.23799999999999999</v>
      </c>
      <c r="H21" s="15" t="s">
        <v>394</v>
      </c>
      <c r="I21" s="41" t="s">
        <v>395</v>
      </c>
      <c r="J21" s="88">
        <f>23800000+76200000</f>
        <v>100000000</v>
      </c>
      <c r="K21" s="89">
        <f>23800000+7600000</f>
        <v>31400000</v>
      </c>
      <c r="L21" s="90">
        <v>23800000</v>
      </c>
      <c r="M21" s="36">
        <f t="shared" si="0"/>
        <v>23.799999999999997</v>
      </c>
    </row>
    <row r="22" spans="2:13" ht="193.5" customHeight="1" x14ac:dyDescent="0.25">
      <c r="B22" s="9">
        <v>15</v>
      </c>
      <c r="C22" s="213">
        <v>196</v>
      </c>
      <c r="D22" s="41" t="s">
        <v>396</v>
      </c>
      <c r="E22" s="15">
        <v>0</v>
      </c>
      <c r="F22" s="15">
        <v>1</v>
      </c>
      <c r="G22" s="157"/>
      <c r="H22" s="15" t="s">
        <v>397</v>
      </c>
      <c r="I22" s="41" t="s">
        <v>398</v>
      </c>
      <c r="J22" s="88">
        <v>40000000</v>
      </c>
      <c r="K22" s="89">
        <v>0</v>
      </c>
      <c r="L22" s="90">
        <v>0</v>
      </c>
      <c r="M22" s="36">
        <f t="shared" si="0"/>
        <v>0</v>
      </c>
    </row>
    <row r="23" spans="2:13" ht="200.25" customHeight="1" x14ac:dyDescent="0.25">
      <c r="B23" s="9">
        <v>16</v>
      </c>
      <c r="C23" s="204">
        <v>197</v>
      </c>
      <c r="D23" s="41" t="s">
        <v>399</v>
      </c>
      <c r="E23" s="15">
        <v>1</v>
      </c>
      <c r="F23" s="15">
        <v>1</v>
      </c>
      <c r="G23" s="69">
        <v>0.27533331999999999</v>
      </c>
      <c r="H23" s="15" t="s">
        <v>400</v>
      </c>
      <c r="I23" s="41" t="s">
        <v>401</v>
      </c>
      <c r="J23" s="209">
        <f>4000000+9766666+36233334</f>
        <v>50000000</v>
      </c>
      <c r="K23" s="210">
        <f>4000000+9766666</f>
        <v>13766666</v>
      </c>
      <c r="L23" s="211">
        <f>4000000+9766666</f>
        <v>13766666</v>
      </c>
      <c r="M23" s="36">
        <f t="shared" si="0"/>
        <v>27.533331999999998</v>
      </c>
    </row>
    <row r="24" spans="2:13" ht="116.25" customHeight="1" x14ac:dyDescent="0.25">
      <c r="B24" s="9">
        <v>17</v>
      </c>
      <c r="C24" s="214">
        <v>198</v>
      </c>
      <c r="D24" s="41" t="s">
        <v>402</v>
      </c>
      <c r="E24" s="15">
        <v>1</v>
      </c>
      <c r="F24" s="15">
        <v>1</v>
      </c>
      <c r="G24" s="215">
        <v>0.16625000000000001</v>
      </c>
      <c r="H24" s="237" t="s">
        <v>403</v>
      </c>
      <c r="I24" s="239" t="s">
        <v>404</v>
      </c>
      <c r="J24" s="209">
        <v>40000000</v>
      </c>
      <c r="K24" s="210">
        <v>14150000</v>
      </c>
      <c r="L24" s="211">
        <v>6650000</v>
      </c>
      <c r="M24" s="36">
        <f t="shared" si="0"/>
        <v>16.625</v>
      </c>
    </row>
    <row r="25" spans="2:13" ht="65.25" customHeight="1" x14ac:dyDescent="0.25">
      <c r="B25" s="9">
        <v>18</v>
      </c>
      <c r="C25" s="214">
        <v>200</v>
      </c>
      <c r="D25" s="41" t="s">
        <v>405</v>
      </c>
      <c r="E25" s="15">
        <v>12</v>
      </c>
      <c r="F25" s="15">
        <v>12</v>
      </c>
      <c r="G25" s="215">
        <v>0</v>
      </c>
      <c r="H25" s="241"/>
      <c r="I25" s="242"/>
      <c r="J25" s="209">
        <v>973614828.89999998</v>
      </c>
      <c r="K25" s="210">
        <v>0</v>
      </c>
      <c r="L25" s="211">
        <v>0</v>
      </c>
      <c r="M25" s="36">
        <f t="shared" si="0"/>
        <v>0</v>
      </c>
    </row>
    <row r="26" spans="2:13" ht="62.25" customHeight="1" x14ac:dyDescent="0.25">
      <c r="B26" s="9">
        <v>19</v>
      </c>
      <c r="C26" s="216">
        <v>201</v>
      </c>
      <c r="D26" s="132" t="s">
        <v>406</v>
      </c>
      <c r="E26" s="217">
        <v>14</v>
      </c>
      <c r="F26" s="217">
        <v>14</v>
      </c>
      <c r="G26" s="215">
        <v>0</v>
      </c>
      <c r="H26" s="241"/>
      <c r="I26" s="242"/>
      <c r="J26" s="218">
        <v>2271767934.0999999</v>
      </c>
      <c r="K26" s="219">
        <v>0</v>
      </c>
      <c r="L26" s="220">
        <v>0</v>
      </c>
      <c r="M26" s="36">
        <f t="shared" si="0"/>
        <v>0</v>
      </c>
    </row>
    <row r="27" spans="2:13" ht="43.5" customHeight="1" x14ac:dyDescent="0.25">
      <c r="B27" s="221"/>
      <c r="C27" s="222"/>
      <c r="D27" s="76" t="s">
        <v>51</v>
      </c>
      <c r="E27" s="76"/>
      <c r="F27" s="76"/>
      <c r="G27" s="22"/>
      <c r="H27" s="76"/>
      <c r="I27" s="76"/>
      <c r="J27" s="223">
        <f>SUM(J8:J26)</f>
        <v>4295382763</v>
      </c>
      <c r="K27" s="223">
        <f>SUM(K8:K26)</f>
        <v>271599999</v>
      </c>
      <c r="L27" s="223">
        <f>SUM(L8:L26)</f>
        <v>156849999</v>
      </c>
      <c r="M27" s="24"/>
    </row>
    <row r="32" spans="2:13" x14ac:dyDescent="0.25">
      <c r="J32" s="39"/>
      <c r="K32" s="39"/>
      <c r="L32" s="39"/>
    </row>
    <row r="33" spans="4:6" ht="45" x14ac:dyDescent="0.25">
      <c r="D33" s="20" t="s">
        <v>22</v>
      </c>
      <c r="E33" s="20" t="s">
        <v>23</v>
      </c>
      <c r="F33" s="20" t="s">
        <v>24</v>
      </c>
    </row>
    <row r="34" spans="4:6" x14ac:dyDescent="0.25">
      <c r="D34" s="24" t="s">
        <v>25</v>
      </c>
      <c r="E34" s="143">
        <v>0</v>
      </c>
      <c r="F34" s="143">
        <f>+E34/$E$37*100</f>
        <v>0</v>
      </c>
    </row>
    <row r="35" spans="4:6" x14ac:dyDescent="0.25">
      <c r="D35" s="24" t="s">
        <v>26</v>
      </c>
      <c r="E35" s="143">
        <v>1</v>
      </c>
      <c r="F35" s="224">
        <f t="shared" ref="F35:F37" si="1">+E35/$E$37*100</f>
        <v>5.2631578947368416</v>
      </c>
    </row>
    <row r="36" spans="4:6" x14ac:dyDescent="0.25">
      <c r="D36" s="24" t="s">
        <v>27</v>
      </c>
      <c r="E36" s="143">
        <v>18</v>
      </c>
      <c r="F36" s="224">
        <f t="shared" si="1"/>
        <v>94.73684210526315</v>
      </c>
    </row>
    <row r="37" spans="4:6" x14ac:dyDescent="0.25">
      <c r="D37" s="161" t="s">
        <v>28</v>
      </c>
      <c r="E37" s="158">
        <f>SUM(E34:E36)</f>
        <v>19</v>
      </c>
      <c r="F37" s="143">
        <f t="shared" si="1"/>
        <v>100</v>
      </c>
    </row>
  </sheetData>
  <sheetProtection algorithmName="SHA-512" hashValue="v4/mg1exh7fuXzSl2OohffOruRD0NDnO1QHy9q703l85v/poQxHiwP+nJxBCGRtJUHzKp3AT1gk/eGGDXTCBLQ==" saltValue="IFrRL/lbEc+1KHRSCPfF1g==" spinCount="100000" sheet="1" objects="1" scenarios="1"/>
  <mergeCells count="9">
    <mergeCell ref="H24:H26"/>
    <mergeCell ref="I24:I26"/>
    <mergeCell ref="B3:M3"/>
    <mergeCell ref="B4:M4"/>
    <mergeCell ref="B5:M5"/>
    <mergeCell ref="H8:H9"/>
    <mergeCell ref="I8:I9"/>
    <mergeCell ref="H14:H15"/>
    <mergeCell ref="I14:I15"/>
  </mergeCells>
  <pageMargins left="0.7" right="0.7" top="0.75" bottom="0.75" header="0.3" footer="0.3"/>
  <pageSetup scale="2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M34"/>
  <sheetViews>
    <sheetView zoomScale="50" zoomScaleNormal="50" workbookViewId="0">
      <selection activeCell="E30" sqref="E30:G34"/>
    </sheetView>
  </sheetViews>
  <sheetFormatPr baseColWidth="10" defaultRowHeight="15" x14ac:dyDescent="0.25"/>
  <cols>
    <col min="2" max="2" width="19.5703125" style="54" customWidth="1"/>
    <col min="4" max="4" width="24.85546875" customWidth="1"/>
    <col min="5" max="5" width="24.28515625" customWidth="1"/>
    <col min="6" max="6" width="21" customWidth="1"/>
    <col min="7" max="7" width="21.42578125" customWidth="1"/>
    <col min="8" max="8" width="45.28515625" hidden="1" customWidth="1"/>
    <col min="9" max="9" width="36.7109375" hidden="1" customWidth="1"/>
    <col min="10" max="10" width="26.28515625" customWidth="1"/>
    <col min="11" max="11" width="26.7109375" customWidth="1"/>
    <col min="12" max="12" width="26.85546875" customWidth="1"/>
    <col min="13" max="13" width="28.140625" customWidth="1"/>
  </cols>
  <sheetData>
    <row r="3" spans="2:13" ht="18.75" x14ac:dyDescent="0.3">
      <c r="B3" s="81"/>
      <c r="C3" s="2"/>
      <c r="D3" s="2"/>
      <c r="E3" s="2"/>
      <c r="F3" s="2"/>
      <c r="G3" s="2"/>
      <c r="H3" s="2"/>
      <c r="I3" s="2"/>
      <c r="J3" s="3"/>
      <c r="K3" s="3"/>
      <c r="L3" s="3"/>
      <c r="M3" s="2"/>
    </row>
    <row r="4" spans="2:13" ht="18.75" x14ac:dyDescent="0.3">
      <c r="B4" s="236" t="s">
        <v>0</v>
      </c>
      <c r="C4" s="236"/>
      <c r="D4" s="236"/>
      <c r="E4" s="236"/>
      <c r="F4" s="236"/>
      <c r="G4" s="236"/>
      <c r="H4" s="236"/>
      <c r="I4" s="236"/>
      <c r="J4" s="236"/>
      <c r="K4" s="236"/>
      <c r="L4" s="236"/>
      <c r="M4" s="236"/>
    </row>
    <row r="5" spans="2:13" ht="18.75" x14ac:dyDescent="0.3">
      <c r="B5" s="236" t="s">
        <v>326</v>
      </c>
      <c r="C5" s="236"/>
      <c r="D5" s="236"/>
      <c r="E5" s="236"/>
      <c r="F5" s="236"/>
      <c r="G5" s="236"/>
      <c r="H5" s="236"/>
      <c r="I5" s="236"/>
      <c r="J5" s="236"/>
      <c r="K5" s="236"/>
      <c r="L5" s="236"/>
      <c r="M5" s="236"/>
    </row>
    <row r="6" spans="2:13" ht="18.75" x14ac:dyDescent="0.3">
      <c r="B6" s="236" t="s">
        <v>2</v>
      </c>
      <c r="C6" s="236"/>
      <c r="D6" s="236"/>
      <c r="E6" s="236"/>
      <c r="F6" s="236"/>
      <c r="G6" s="236"/>
      <c r="H6" s="236"/>
      <c r="I6" s="236"/>
      <c r="J6" s="236"/>
      <c r="K6" s="236"/>
      <c r="L6" s="236"/>
      <c r="M6" s="236"/>
    </row>
    <row r="7" spans="2:13" x14ac:dyDescent="0.25">
      <c r="J7" s="5"/>
      <c r="K7" s="5"/>
      <c r="L7" s="5"/>
    </row>
    <row r="8" spans="2:13" ht="60" x14ac:dyDescent="0.25">
      <c r="B8" s="6" t="s">
        <v>3</v>
      </c>
      <c r="C8" s="7" t="s">
        <v>4</v>
      </c>
      <c r="D8" s="7" t="s">
        <v>5</v>
      </c>
      <c r="E8" s="7" t="s">
        <v>6</v>
      </c>
      <c r="F8" s="6" t="s">
        <v>7</v>
      </c>
      <c r="G8" s="6" t="s">
        <v>8</v>
      </c>
      <c r="H8" s="6" t="s">
        <v>9</v>
      </c>
      <c r="I8" s="6" t="s">
        <v>10</v>
      </c>
      <c r="J8" s="6" t="s">
        <v>11</v>
      </c>
      <c r="K8" s="6" t="s">
        <v>12</v>
      </c>
      <c r="L8" s="6" t="s">
        <v>13</v>
      </c>
      <c r="M8" s="8" t="s">
        <v>14</v>
      </c>
    </row>
    <row r="9" spans="2:13" ht="85.5" customHeight="1" x14ac:dyDescent="0.25">
      <c r="B9" s="9">
        <v>1</v>
      </c>
      <c r="C9" s="75">
        <v>38</v>
      </c>
      <c r="D9" s="63" t="s">
        <v>327</v>
      </c>
      <c r="E9" s="68">
        <v>3</v>
      </c>
      <c r="F9" s="196">
        <v>4</v>
      </c>
      <c r="G9" s="197"/>
      <c r="H9" s="237" t="s">
        <v>328</v>
      </c>
      <c r="I9" s="239" t="s">
        <v>329</v>
      </c>
      <c r="J9" s="45">
        <v>7500000</v>
      </c>
      <c r="K9" s="46">
        <v>7500000</v>
      </c>
      <c r="L9" s="46">
        <v>0</v>
      </c>
      <c r="M9" s="19">
        <f t="shared" ref="M9:M23" si="0">+G9/$F$9*100</f>
        <v>0</v>
      </c>
    </row>
    <row r="10" spans="2:13" ht="133.5" customHeight="1" x14ac:dyDescent="0.25">
      <c r="B10" s="9">
        <v>2</v>
      </c>
      <c r="C10" s="75">
        <v>39</v>
      </c>
      <c r="D10" s="198" t="s">
        <v>330</v>
      </c>
      <c r="E10" s="196">
        <v>0</v>
      </c>
      <c r="F10" s="196">
        <v>3</v>
      </c>
      <c r="G10" s="197"/>
      <c r="H10" s="238"/>
      <c r="I10" s="240"/>
      <c r="J10" s="48">
        <v>7500000</v>
      </c>
      <c r="K10" s="49">
        <v>7500000</v>
      </c>
      <c r="L10" s="46">
        <v>0</v>
      </c>
      <c r="M10" s="19">
        <f t="shared" si="0"/>
        <v>0</v>
      </c>
    </row>
    <row r="11" spans="2:13" ht="169.5" customHeight="1" x14ac:dyDescent="0.25">
      <c r="B11" s="9">
        <v>3</v>
      </c>
      <c r="C11" s="10">
        <v>40</v>
      </c>
      <c r="D11" s="30" t="s">
        <v>331</v>
      </c>
      <c r="E11" s="68">
        <v>0</v>
      </c>
      <c r="F11" s="68" t="s">
        <v>332</v>
      </c>
      <c r="G11" s="197"/>
      <c r="H11" s="237" t="s">
        <v>333</v>
      </c>
      <c r="I11" s="244" t="s">
        <v>334</v>
      </c>
      <c r="J11" s="48">
        <v>20000000</v>
      </c>
      <c r="K11" s="49">
        <v>0</v>
      </c>
      <c r="L11" s="46">
        <v>0</v>
      </c>
      <c r="M11" s="19">
        <f t="shared" si="0"/>
        <v>0</v>
      </c>
    </row>
    <row r="12" spans="2:13" ht="117" customHeight="1" x14ac:dyDescent="0.25">
      <c r="B12" s="9">
        <v>4</v>
      </c>
      <c r="C12" s="75">
        <v>41</v>
      </c>
      <c r="D12" s="30" t="s">
        <v>335</v>
      </c>
      <c r="E12" s="68">
        <v>0</v>
      </c>
      <c r="F12" s="196">
        <v>1</v>
      </c>
      <c r="G12" s="197"/>
      <c r="H12" s="241"/>
      <c r="I12" s="245"/>
      <c r="J12" s="48">
        <v>7500000</v>
      </c>
      <c r="K12" s="49">
        <v>0</v>
      </c>
      <c r="L12" s="46">
        <v>0</v>
      </c>
      <c r="M12" s="19">
        <f t="shared" si="0"/>
        <v>0</v>
      </c>
    </row>
    <row r="13" spans="2:13" ht="75.75" customHeight="1" x14ac:dyDescent="0.25">
      <c r="B13" s="9">
        <v>5</v>
      </c>
      <c r="C13" s="75">
        <v>42</v>
      </c>
      <c r="D13" s="11" t="s">
        <v>336</v>
      </c>
      <c r="E13" s="196">
        <v>1</v>
      </c>
      <c r="F13" s="196">
        <v>1</v>
      </c>
      <c r="G13" s="197"/>
      <c r="H13" s="238"/>
      <c r="I13" s="246"/>
      <c r="J13" s="48">
        <v>7500000</v>
      </c>
      <c r="K13" s="49">
        <v>7500000</v>
      </c>
      <c r="L13" s="46">
        <v>0</v>
      </c>
      <c r="M13" s="19">
        <f t="shared" si="0"/>
        <v>0</v>
      </c>
    </row>
    <row r="14" spans="2:13" ht="101.25" customHeight="1" x14ac:dyDescent="0.25">
      <c r="B14" s="9">
        <v>6</v>
      </c>
      <c r="C14" s="75">
        <v>43</v>
      </c>
      <c r="D14" s="41" t="s">
        <v>337</v>
      </c>
      <c r="E14" s="68" t="s">
        <v>16</v>
      </c>
      <c r="F14" s="68">
        <v>3</v>
      </c>
      <c r="G14" s="199"/>
      <c r="H14" s="237" t="s">
        <v>338</v>
      </c>
      <c r="I14" s="239" t="s">
        <v>339</v>
      </c>
      <c r="J14" s="48">
        <v>17000000</v>
      </c>
      <c r="K14" s="49">
        <v>5000000</v>
      </c>
      <c r="L14" s="46">
        <v>0</v>
      </c>
      <c r="M14" s="19">
        <f t="shared" si="0"/>
        <v>0</v>
      </c>
    </row>
    <row r="15" spans="2:13" ht="108.75" customHeight="1" x14ac:dyDescent="0.25">
      <c r="B15" s="9">
        <v>7</v>
      </c>
      <c r="C15" s="75">
        <v>44</v>
      </c>
      <c r="D15" s="41" t="s">
        <v>340</v>
      </c>
      <c r="E15" s="68">
        <v>0</v>
      </c>
      <c r="F15" s="68">
        <v>1</v>
      </c>
      <c r="G15" s="199"/>
      <c r="H15" s="241"/>
      <c r="I15" s="242"/>
      <c r="J15" s="48">
        <v>20000000</v>
      </c>
      <c r="K15" s="49">
        <v>16450000</v>
      </c>
      <c r="L15" s="46">
        <v>0</v>
      </c>
      <c r="M15" s="19">
        <f t="shared" si="0"/>
        <v>0</v>
      </c>
    </row>
    <row r="16" spans="2:13" ht="137.25" customHeight="1" x14ac:dyDescent="0.25">
      <c r="B16" s="9">
        <v>8</v>
      </c>
      <c r="C16" s="75">
        <v>45</v>
      </c>
      <c r="D16" s="41" t="s">
        <v>341</v>
      </c>
      <c r="E16" s="68" t="s">
        <v>16</v>
      </c>
      <c r="F16" s="68">
        <v>2</v>
      </c>
      <c r="G16" s="199"/>
      <c r="H16" s="241"/>
      <c r="I16" s="242"/>
      <c r="J16" s="48">
        <v>20000000</v>
      </c>
      <c r="K16" s="49">
        <v>14000000</v>
      </c>
      <c r="L16" s="46">
        <v>0</v>
      </c>
      <c r="M16" s="19">
        <f t="shared" si="0"/>
        <v>0</v>
      </c>
    </row>
    <row r="17" spans="2:13" ht="138" customHeight="1" x14ac:dyDescent="0.25">
      <c r="B17" s="9">
        <v>9</v>
      </c>
      <c r="C17" s="75">
        <v>46</v>
      </c>
      <c r="D17" s="41" t="s">
        <v>342</v>
      </c>
      <c r="E17" s="68">
        <v>0</v>
      </c>
      <c r="F17" s="68">
        <v>1</v>
      </c>
      <c r="G17" s="199">
        <v>1</v>
      </c>
      <c r="H17" s="238"/>
      <c r="I17" s="240"/>
      <c r="J17" s="48">
        <v>120000000</v>
      </c>
      <c r="K17" s="49">
        <v>60000000</v>
      </c>
      <c r="L17" s="46">
        <v>60000000</v>
      </c>
      <c r="M17" s="19">
        <f t="shared" si="0"/>
        <v>25</v>
      </c>
    </row>
    <row r="18" spans="2:13" ht="156.75" customHeight="1" x14ac:dyDescent="0.25">
      <c r="B18" s="9">
        <v>10</v>
      </c>
      <c r="C18" s="75">
        <v>47</v>
      </c>
      <c r="D18" s="30" t="s">
        <v>343</v>
      </c>
      <c r="E18" s="68">
        <v>0</v>
      </c>
      <c r="F18" s="196">
        <v>2</v>
      </c>
      <c r="G18" s="200">
        <v>0</v>
      </c>
      <c r="H18" s="237" t="s">
        <v>344</v>
      </c>
      <c r="I18" s="243" t="s">
        <v>345</v>
      </c>
      <c r="J18" s="48">
        <f>105000000+25000000</f>
        <v>130000000</v>
      </c>
      <c r="K18" s="49">
        <f>5000000+25000000</f>
        <v>30000000</v>
      </c>
      <c r="L18" s="46">
        <v>22500000</v>
      </c>
      <c r="M18" s="19">
        <f t="shared" si="0"/>
        <v>0</v>
      </c>
    </row>
    <row r="19" spans="2:13" ht="99.75" customHeight="1" x14ac:dyDescent="0.25">
      <c r="B19" s="9">
        <v>11</v>
      </c>
      <c r="C19" s="75">
        <v>48</v>
      </c>
      <c r="D19" s="30" t="s">
        <v>346</v>
      </c>
      <c r="E19" s="68">
        <v>0</v>
      </c>
      <c r="F19" s="196">
        <v>1</v>
      </c>
      <c r="G19" s="197"/>
      <c r="H19" s="241"/>
      <c r="I19" s="243"/>
      <c r="J19" s="48">
        <v>55000000</v>
      </c>
      <c r="K19" s="49">
        <v>5000000</v>
      </c>
      <c r="L19" s="46">
        <v>0</v>
      </c>
      <c r="M19" s="19">
        <f t="shared" si="0"/>
        <v>0</v>
      </c>
    </row>
    <row r="20" spans="2:13" ht="213" customHeight="1" x14ac:dyDescent="0.25">
      <c r="B20" s="9">
        <v>12</v>
      </c>
      <c r="C20" s="75">
        <v>49</v>
      </c>
      <c r="D20" s="30" t="s">
        <v>347</v>
      </c>
      <c r="E20" s="68">
        <v>0</v>
      </c>
      <c r="F20" s="196">
        <v>1</v>
      </c>
      <c r="G20" s="201"/>
      <c r="H20" s="238"/>
      <c r="I20" s="243"/>
      <c r="J20" s="48">
        <v>5000000</v>
      </c>
      <c r="K20" s="49">
        <v>4950000</v>
      </c>
      <c r="L20" s="46">
        <v>0</v>
      </c>
      <c r="M20" s="19">
        <f t="shared" si="0"/>
        <v>0</v>
      </c>
    </row>
    <row r="21" spans="2:13" ht="249" customHeight="1" x14ac:dyDescent="0.25">
      <c r="B21" s="9">
        <v>13</v>
      </c>
      <c r="C21" s="75">
        <v>50</v>
      </c>
      <c r="D21" s="30" t="s">
        <v>348</v>
      </c>
      <c r="E21" s="68" t="s">
        <v>16</v>
      </c>
      <c r="F21" s="196">
        <v>2</v>
      </c>
      <c r="G21" s="199">
        <v>0</v>
      </c>
      <c r="H21" s="15" t="s">
        <v>349</v>
      </c>
      <c r="I21" s="41" t="s">
        <v>350</v>
      </c>
      <c r="J21" s="48">
        <f>5000000+3000000+52000000</f>
        <v>60000000</v>
      </c>
      <c r="K21" s="49">
        <f>5000000+3000000+30916000</f>
        <v>38916000</v>
      </c>
      <c r="L21" s="46">
        <f>5000000+3000000+1800000</f>
        <v>9800000</v>
      </c>
      <c r="M21" s="19">
        <f t="shared" si="0"/>
        <v>0</v>
      </c>
    </row>
    <row r="22" spans="2:13" ht="144.75" customHeight="1" x14ac:dyDescent="0.25">
      <c r="B22" s="9">
        <v>14</v>
      </c>
      <c r="C22" s="75">
        <v>52</v>
      </c>
      <c r="D22" s="30" t="s">
        <v>351</v>
      </c>
      <c r="E22" s="68">
        <v>0</v>
      </c>
      <c r="F22" s="196">
        <v>3</v>
      </c>
      <c r="G22" s="197">
        <v>0</v>
      </c>
      <c r="H22" s="15" t="s">
        <v>352</v>
      </c>
      <c r="I22" s="41" t="s">
        <v>353</v>
      </c>
      <c r="J22" s="48">
        <f>75800000+4200000</f>
        <v>80000000</v>
      </c>
      <c r="K22" s="49">
        <f>54347000+4200000</f>
        <v>58547000</v>
      </c>
      <c r="L22" s="46">
        <v>4200000</v>
      </c>
      <c r="M22" s="19">
        <f t="shared" si="0"/>
        <v>0</v>
      </c>
    </row>
    <row r="23" spans="2:13" ht="121.5" customHeight="1" x14ac:dyDescent="0.25">
      <c r="B23" s="9">
        <v>15</v>
      </c>
      <c r="C23" s="75">
        <v>53</v>
      </c>
      <c r="D23" s="30" t="s">
        <v>354</v>
      </c>
      <c r="E23" s="68">
        <v>0</v>
      </c>
      <c r="F23" s="196">
        <v>1</v>
      </c>
      <c r="G23" s="69">
        <v>0.31</v>
      </c>
      <c r="H23" s="15" t="s">
        <v>355</v>
      </c>
      <c r="I23" s="30" t="s">
        <v>356</v>
      </c>
      <c r="J23" s="48">
        <f>425360000+83000000</f>
        <v>508360000</v>
      </c>
      <c r="K23" s="49">
        <f>313032500+83000000</f>
        <v>396032500</v>
      </c>
      <c r="L23" s="46">
        <f>80000000+80000000</f>
        <v>160000000</v>
      </c>
      <c r="M23" s="19">
        <f t="shared" si="0"/>
        <v>7.75</v>
      </c>
    </row>
    <row r="24" spans="2:13" ht="34.5" customHeight="1" x14ac:dyDescent="0.25">
      <c r="B24" s="51"/>
      <c r="C24" s="76"/>
      <c r="D24" s="76" t="s">
        <v>28</v>
      </c>
      <c r="E24" s="76"/>
      <c r="F24" s="76"/>
      <c r="G24" s="76"/>
      <c r="H24" s="76"/>
      <c r="I24" s="76"/>
      <c r="J24" s="53">
        <f>SUM(J9:J23)</f>
        <v>1065360000</v>
      </c>
      <c r="K24" s="53">
        <f>SUM(K9:K23)</f>
        <v>651395500</v>
      </c>
      <c r="L24" s="53">
        <f>SUM(L9:L23)</f>
        <v>256500000</v>
      </c>
      <c r="M24" s="53">
        <f>SUM(M9:M23)</f>
        <v>32.75</v>
      </c>
    </row>
    <row r="25" spans="2:13" x14ac:dyDescent="0.25">
      <c r="C25" s="202"/>
      <c r="D25" s="202"/>
      <c r="E25" s="202"/>
      <c r="F25" s="202"/>
      <c r="G25" s="202"/>
      <c r="H25" s="202"/>
      <c r="I25" s="202"/>
      <c r="J25" s="202"/>
      <c r="K25" s="202"/>
      <c r="L25" s="202"/>
      <c r="M25" s="202"/>
    </row>
    <row r="26" spans="2:13" x14ac:dyDescent="0.25">
      <c r="I26" s="162"/>
      <c r="J26" s="203"/>
    </row>
    <row r="27" spans="2:13" x14ac:dyDescent="0.25">
      <c r="I27" s="162"/>
      <c r="J27" s="203"/>
    </row>
    <row r="30" spans="2:13" ht="60" x14ac:dyDescent="0.25">
      <c r="E30" s="20" t="s">
        <v>22</v>
      </c>
      <c r="F30" s="21" t="s">
        <v>23</v>
      </c>
      <c r="G30" s="22" t="s">
        <v>24</v>
      </c>
    </row>
    <row r="31" spans="2:13" x14ac:dyDescent="0.25">
      <c r="E31" s="24" t="s">
        <v>25</v>
      </c>
      <c r="F31" s="9">
        <v>0</v>
      </c>
      <c r="G31" s="9">
        <f>+F31/$F$34*100</f>
        <v>0</v>
      </c>
    </row>
    <row r="32" spans="2:13" x14ac:dyDescent="0.25">
      <c r="E32" s="24" t="s">
        <v>26</v>
      </c>
      <c r="F32" s="9">
        <v>0</v>
      </c>
      <c r="G32" s="9">
        <f t="shared" ref="G32:G34" si="1">+F32/$F$34*100</f>
        <v>0</v>
      </c>
    </row>
    <row r="33" spans="5:7" x14ac:dyDescent="0.25">
      <c r="E33" s="24" t="s">
        <v>27</v>
      </c>
      <c r="F33" s="9">
        <v>15</v>
      </c>
      <c r="G33" s="9">
        <f t="shared" si="1"/>
        <v>100</v>
      </c>
    </row>
    <row r="34" spans="5:7" x14ac:dyDescent="0.25">
      <c r="E34" s="79" t="s">
        <v>28</v>
      </c>
      <c r="F34" s="51">
        <f>SUM(F31:F33)</f>
        <v>15</v>
      </c>
      <c r="G34" s="9">
        <f t="shared" si="1"/>
        <v>100</v>
      </c>
    </row>
  </sheetData>
  <sheetProtection algorithmName="SHA-512" hashValue="u9BI0omiBwLjMiEtIX0+ChdYG2kkaZmpGJww2praGOX18/pBULhn8wQC5O9C4zONM97t0znZaj6A7Wshi6Y5yQ==" saltValue="2sYGCu0sV1GmQTB7gznoqw==" spinCount="100000" sheet="1" objects="1" scenarios="1"/>
  <mergeCells count="11">
    <mergeCell ref="H14:H17"/>
    <mergeCell ref="I14:I17"/>
    <mergeCell ref="H18:H20"/>
    <mergeCell ref="I18:I20"/>
    <mergeCell ref="B4:M4"/>
    <mergeCell ref="B5:M5"/>
    <mergeCell ref="B6:M6"/>
    <mergeCell ref="H9:H10"/>
    <mergeCell ref="I9:I10"/>
    <mergeCell ref="H11:H13"/>
    <mergeCell ref="I11:I13"/>
  </mergeCells>
  <pageMargins left="0.7" right="0.7" top="0.75" bottom="0.75" header="0.3" footer="0.3"/>
  <pageSetup scale="3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8"/>
  <sheetViews>
    <sheetView view="pageBreakPreview" topLeftCell="A7" zoomScale="60" zoomScaleNormal="80" workbookViewId="0">
      <selection activeCell="K10" sqref="K10"/>
    </sheetView>
  </sheetViews>
  <sheetFormatPr baseColWidth="10" defaultRowHeight="15" x14ac:dyDescent="0.25"/>
  <cols>
    <col min="2" max="2" width="14.28515625" customWidth="1"/>
    <col min="4" max="4" width="30.5703125" customWidth="1"/>
    <col min="6" max="6" width="14.28515625" customWidth="1"/>
    <col min="7" max="7" width="13.5703125" customWidth="1"/>
    <col min="8" max="8" width="0.140625" hidden="1" customWidth="1"/>
    <col min="9" max="9" width="15.7109375" hidden="1" customWidth="1"/>
    <col min="10" max="10" width="27.5703125" customWidth="1"/>
    <col min="11" max="11" width="28.5703125" customWidth="1"/>
    <col min="12" max="12" width="26.42578125" customWidth="1"/>
    <col min="13" max="13" width="23.28515625" customWidth="1"/>
    <col min="14" max="14" width="18.7109375" customWidth="1"/>
  </cols>
  <sheetData>
    <row r="1" spans="2:14" x14ac:dyDescent="0.25">
      <c r="B1" s="247" t="s">
        <v>52</v>
      </c>
      <c r="C1" s="247"/>
      <c r="D1" s="247"/>
      <c r="E1" s="247"/>
      <c r="F1" s="247"/>
      <c r="G1" s="247"/>
      <c r="H1" s="247"/>
      <c r="I1" s="247"/>
      <c r="J1" s="247"/>
      <c r="K1" s="247"/>
      <c r="L1" s="247"/>
      <c r="M1" s="247"/>
      <c r="N1" s="247"/>
    </row>
    <row r="2" spans="2:14" x14ac:dyDescent="0.25">
      <c r="B2" s="247" t="s">
        <v>316</v>
      </c>
      <c r="C2" s="247"/>
      <c r="D2" s="247"/>
      <c r="E2" s="247"/>
      <c r="F2" s="247"/>
      <c r="G2" s="247"/>
      <c r="H2" s="247"/>
      <c r="I2" s="247"/>
      <c r="J2" s="247"/>
      <c r="K2" s="247"/>
      <c r="L2" s="247"/>
      <c r="M2" s="247"/>
      <c r="N2" s="247"/>
    </row>
    <row r="3" spans="2:14" x14ac:dyDescent="0.25">
      <c r="B3" s="247" t="s">
        <v>54</v>
      </c>
      <c r="C3" s="247"/>
      <c r="D3" s="247"/>
      <c r="E3" s="247"/>
      <c r="F3" s="247"/>
      <c r="G3" s="247"/>
      <c r="H3" s="247"/>
      <c r="I3" s="247"/>
      <c r="J3" s="247"/>
      <c r="K3" s="247"/>
      <c r="L3" s="247"/>
      <c r="M3" s="247"/>
      <c r="N3" s="247"/>
    </row>
    <row r="4" spans="2:14" x14ac:dyDescent="0.25">
      <c r="B4" s="248"/>
      <c r="C4" s="248"/>
      <c r="D4" s="248"/>
      <c r="E4" s="248"/>
      <c r="F4" s="248"/>
      <c r="G4" s="248"/>
      <c r="H4" s="248"/>
      <c r="I4" s="248"/>
      <c r="J4" s="248"/>
      <c r="K4" s="248"/>
      <c r="L4" s="248"/>
      <c r="M4" s="248"/>
      <c r="N4" s="248"/>
    </row>
    <row r="5" spans="2:14" ht="90.75" customHeight="1" x14ac:dyDescent="0.25">
      <c r="B5" s="6" t="s">
        <v>3</v>
      </c>
      <c r="C5" s="7" t="s">
        <v>4</v>
      </c>
      <c r="D5" s="7" t="s">
        <v>5</v>
      </c>
      <c r="E5" s="7" t="s">
        <v>6</v>
      </c>
      <c r="F5" s="7" t="s">
        <v>7</v>
      </c>
      <c r="G5" s="7" t="s">
        <v>8</v>
      </c>
      <c r="H5" s="7" t="s">
        <v>9</v>
      </c>
      <c r="I5" s="7" t="s">
        <v>10</v>
      </c>
      <c r="J5" s="6" t="s">
        <v>11</v>
      </c>
      <c r="K5" s="7" t="s">
        <v>12</v>
      </c>
      <c r="L5" s="7" t="s">
        <v>13</v>
      </c>
      <c r="M5" s="186" t="s">
        <v>267</v>
      </c>
      <c r="N5" s="8" t="s">
        <v>14</v>
      </c>
    </row>
    <row r="6" spans="2:14" ht="42.75" customHeight="1" x14ac:dyDescent="0.25">
      <c r="B6" s="9">
        <v>1</v>
      </c>
      <c r="C6" s="10">
        <v>275</v>
      </c>
      <c r="D6" s="41" t="s">
        <v>317</v>
      </c>
      <c r="E6" s="12">
        <v>0</v>
      </c>
      <c r="F6" s="13">
        <v>4</v>
      </c>
      <c r="G6" s="145">
        <v>2</v>
      </c>
      <c r="H6" s="249">
        <v>2014630000121</v>
      </c>
      <c r="I6" s="252" t="s">
        <v>318</v>
      </c>
      <c r="J6" s="253" t="s">
        <v>319</v>
      </c>
      <c r="K6" s="187">
        <v>747722528</v>
      </c>
      <c r="L6" s="188">
        <v>719799021</v>
      </c>
      <c r="M6" s="188">
        <v>423558054</v>
      </c>
      <c r="N6" s="189">
        <f>+G6/F6*100</f>
        <v>50</v>
      </c>
    </row>
    <row r="7" spans="2:14" ht="57" x14ac:dyDescent="0.25">
      <c r="B7" s="9">
        <v>2</v>
      </c>
      <c r="C7" s="10">
        <v>276</v>
      </c>
      <c r="D7" s="41" t="s">
        <v>320</v>
      </c>
      <c r="E7" s="12">
        <v>1</v>
      </c>
      <c r="F7" s="13">
        <v>1</v>
      </c>
      <c r="G7" s="136">
        <v>0.30257743173220897</v>
      </c>
      <c r="H7" s="250"/>
      <c r="I7" s="252"/>
      <c r="J7" s="253"/>
      <c r="K7" s="190">
        <v>182873282</v>
      </c>
      <c r="L7" s="191">
        <v>150206616</v>
      </c>
      <c r="M7" s="188">
        <v>55333328</v>
      </c>
      <c r="N7" s="192">
        <f t="shared" ref="N7:N10" si="0">+G7/F7*100</f>
        <v>30.257743173220895</v>
      </c>
    </row>
    <row r="8" spans="2:14" ht="57" x14ac:dyDescent="0.25">
      <c r="B8" s="9">
        <v>3</v>
      </c>
      <c r="C8" s="10">
        <v>277</v>
      </c>
      <c r="D8" s="41" t="s">
        <v>321</v>
      </c>
      <c r="E8" s="12">
        <v>1</v>
      </c>
      <c r="F8" s="13">
        <v>1</v>
      </c>
      <c r="G8" s="136">
        <v>5.4947780422287068E-2</v>
      </c>
      <c r="H8" s="251"/>
      <c r="I8" s="252"/>
      <c r="J8" s="253"/>
      <c r="K8" s="190">
        <v>484459969</v>
      </c>
      <c r="L8" s="191">
        <v>125233320</v>
      </c>
      <c r="M8" s="188">
        <v>26620000</v>
      </c>
      <c r="N8" s="192">
        <f t="shared" si="0"/>
        <v>5.4947780422287069</v>
      </c>
    </row>
    <row r="9" spans="2:14" ht="86.25" customHeight="1" x14ac:dyDescent="0.25">
      <c r="B9" s="9">
        <v>4</v>
      </c>
      <c r="C9" s="193">
        <v>278</v>
      </c>
      <c r="D9" s="41" t="s">
        <v>322</v>
      </c>
      <c r="E9" s="12" t="s">
        <v>16</v>
      </c>
      <c r="F9" s="13">
        <v>1</v>
      </c>
      <c r="G9" s="14"/>
      <c r="H9" s="194"/>
      <c r="I9" s="237" t="s">
        <v>323</v>
      </c>
      <c r="J9" s="239" t="s">
        <v>324</v>
      </c>
      <c r="K9" s="190">
        <v>8000000</v>
      </c>
      <c r="L9" s="191">
        <v>0</v>
      </c>
      <c r="M9" s="188">
        <v>0</v>
      </c>
      <c r="N9" s="192">
        <f t="shared" si="0"/>
        <v>0</v>
      </c>
    </row>
    <row r="10" spans="2:14" ht="88.5" customHeight="1" x14ac:dyDescent="0.25">
      <c r="B10" s="9">
        <v>5</v>
      </c>
      <c r="C10" s="193">
        <v>279</v>
      </c>
      <c r="D10" s="41" t="s">
        <v>325</v>
      </c>
      <c r="E10" s="12" t="s">
        <v>16</v>
      </c>
      <c r="F10" s="13">
        <v>1</v>
      </c>
      <c r="G10" s="126"/>
      <c r="H10" s="195"/>
      <c r="I10" s="238"/>
      <c r="J10" s="240"/>
      <c r="K10" s="190">
        <v>32000000</v>
      </c>
      <c r="L10" s="191">
        <v>0</v>
      </c>
      <c r="M10" s="188">
        <v>0</v>
      </c>
      <c r="N10" s="192">
        <f t="shared" si="0"/>
        <v>0</v>
      </c>
    </row>
    <row r="14" spans="2:14" ht="45" x14ac:dyDescent="0.25">
      <c r="D14" s="20" t="s">
        <v>22</v>
      </c>
      <c r="E14" s="21" t="s">
        <v>23</v>
      </c>
      <c r="F14" s="22" t="s">
        <v>24</v>
      </c>
    </row>
    <row r="15" spans="2:14" x14ac:dyDescent="0.25">
      <c r="D15" s="24" t="s">
        <v>25</v>
      </c>
      <c r="E15" s="9">
        <v>0</v>
      </c>
      <c r="F15" s="9">
        <f>+E15/$E$18*100</f>
        <v>0</v>
      </c>
    </row>
    <row r="16" spans="2:14" x14ac:dyDescent="0.25">
      <c r="D16" s="24" t="s">
        <v>26</v>
      </c>
      <c r="E16" s="78">
        <v>1</v>
      </c>
      <c r="F16" s="9">
        <f t="shared" ref="F16:F18" si="1">+E16/$E$18*100</f>
        <v>20</v>
      </c>
    </row>
    <row r="17" spans="4:6" x14ac:dyDescent="0.25">
      <c r="D17" s="24" t="s">
        <v>27</v>
      </c>
      <c r="E17" s="78">
        <v>4</v>
      </c>
      <c r="F17" s="9">
        <f t="shared" si="1"/>
        <v>80</v>
      </c>
    </row>
    <row r="18" spans="4:6" x14ac:dyDescent="0.25">
      <c r="D18" s="79" t="s">
        <v>28</v>
      </c>
      <c r="E18" s="51">
        <f>SUM(E15:E17)</f>
        <v>5</v>
      </c>
      <c r="F18" s="9">
        <f t="shared" si="1"/>
        <v>100</v>
      </c>
    </row>
  </sheetData>
  <sheetProtection algorithmName="SHA-512" hashValue="5SAm84UJRvlbWyTui3TfHE1dfvy8SjOEkP6/wuObklJGs72qdMqPIXyEzQ+foGv9Gwajg0duVMaRE5jR6Ddxkw==" saltValue="DBDMu/XqfkWCJ27lXXlLqw==" spinCount="100000" sheet="1" objects="1" scenarios="1"/>
  <mergeCells count="9">
    <mergeCell ref="I9:I10"/>
    <mergeCell ref="J9:J10"/>
    <mergeCell ref="B1:N1"/>
    <mergeCell ref="B2:N2"/>
    <mergeCell ref="B3:N3"/>
    <mergeCell ref="B4:N4"/>
    <mergeCell ref="H6:H8"/>
    <mergeCell ref="I6:I8"/>
    <mergeCell ref="J6:J8"/>
  </mergeCells>
  <pageMargins left="0.7" right="0.7" top="0.75" bottom="0.75" header="0.3" footer="0.3"/>
  <pageSetup scale="3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27"/>
  <sheetViews>
    <sheetView view="pageBreakPreview" zoomScale="60" zoomScaleNormal="60" workbookViewId="0">
      <pane ySplit="2" topLeftCell="A3" activePane="bottomLeft" state="frozen"/>
      <selection pane="bottomLeft" activeCell="D2" sqref="D2"/>
    </sheetView>
  </sheetViews>
  <sheetFormatPr baseColWidth="10" defaultRowHeight="15" x14ac:dyDescent="0.25"/>
  <cols>
    <col min="1" max="1" width="11.42578125" style="4"/>
    <col min="2" max="2" width="19.85546875" customWidth="1"/>
    <col min="3" max="3" width="24.7109375" customWidth="1"/>
    <col min="4" max="4" width="22.28515625" customWidth="1"/>
    <col min="5" max="6" width="22.85546875" customWidth="1"/>
    <col min="7" max="7" width="17.42578125" customWidth="1"/>
    <col min="8" max="8" width="16.7109375" customWidth="1"/>
    <col min="9" max="9" width="17.85546875" customWidth="1"/>
    <col min="10" max="10" width="28.5703125" style="54" customWidth="1"/>
  </cols>
  <sheetData>
    <row r="1" spans="1:44" ht="59.25" customHeight="1" x14ac:dyDescent="0.25">
      <c r="A1" s="254" t="s">
        <v>260</v>
      </c>
      <c r="B1" s="254"/>
      <c r="C1" s="254"/>
      <c r="D1" s="254"/>
      <c r="E1" s="254"/>
      <c r="F1" s="254"/>
      <c r="G1" s="254"/>
      <c r="H1" s="254"/>
      <c r="I1" s="254"/>
      <c r="J1" s="254"/>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row>
    <row r="2" spans="1:44" s="166" customFormat="1" ht="88.5" customHeight="1" x14ac:dyDescent="0.25">
      <c r="A2" s="163" t="s">
        <v>261</v>
      </c>
      <c r="B2" s="163" t="s">
        <v>262</v>
      </c>
      <c r="C2" s="163" t="s">
        <v>263</v>
      </c>
      <c r="D2" s="163" t="s">
        <v>10</v>
      </c>
      <c r="E2" s="163" t="s">
        <v>264</v>
      </c>
      <c r="F2" s="163" t="s">
        <v>265</v>
      </c>
      <c r="G2" s="163" t="s">
        <v>266</v>
      </c>
      <c r="H2" s="163" t="s">
        <v>267</v>
      </c>
      <c r="I2" s="163" t="s">
        <v>268</v>
      </c>
      <c r="J2" s="164" t="s">
        <v>269</v>
      </c>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row>
    <row r="3" spans="1:44" s="172" customFormat="1" ht="90" x14ac:dyDescent="0.25">
      <c r="A3" s="167">
        <v>4</v>
      </c>
      <c r="B3" s="168" t="s">
        <v>270</v>
      </c>
      <c r="C3" s="168" t="s">
        <v>271</v>
      </c>
      <c r="D3" s="168" t="s">
        <v>272</v>
      </c>
      <c r="E3" s="169">
        <v>54164000</v>
      </c>
      <c r="F3" s="169">
        <v>54164000</v>
      </c>
      <c r="G3" s="170">
        <v>54164000</v>
      </c>
      <c r="H3" s="169">
        <v>52956000</v>
      </c>
      <c r="I3" s="169">
        <v>0</v>
      </c>
      <c r="J3" s="171">
        <f>+G3/E3*100</f>
        <v>100</v>
      </c>
    </row>
    <row r="4" spans="1:44" s="172" customFormat="1" ht="106.5" customHeight="1" x14ac:dyDescent="0.25">
      <c r="A4" s="167">
        <v>4</v>
      </c>
      <c r="B4" s="168" t="s">
        <v>270</v>
      </c>
      <c r="C4" s="168" t="s">
        <v>273</v>
      </c>
      <c r="D4" s="168" t="s">
        <v>274</v>
      </c>
      <c r="E4" s="169">
        <v>5275836000</v>
      </c>
      <c r="F4" s="169">
        <v>316286975</v>
      </c>
      <c r="G4" s="170">
        <v>235006021.69999999</v>
      </c>
      <c r="H4" s="169">
        <v>3700000</v>
      </c>
      <c r="I4" s="169">
        <f>E4-F4</f>
        <v>4959549025</v>
      </c>
      <c r="J4" s="36">
        <f t="shared" ref="J4:J26" si="0">+G4/E4*100</f>
        <v>4.4543845127104031</v>
      </c>
    </row>
    <row r="5" spans="1:44" s="172" customFormat="1" ht="102.75" customHeight="1" x14ac:dyDescent="0.25">
      <c r="A5" s="167">
        <v>20</v>
      </c>
      <c r="B5" s="168" t="s">
        <v>275</v>
      </c>
      <c r="C5" s="168" t="s">
        <v>276</v>
      </c>
      <c r="D5" s="168" t="s">
        <v>274</v>
      </c>
      <c r="E5" s="169">
        <v>340000000</v>
      </c>
      <c r="F5" s="169">
        <v>61035022</v>
      </c>
      <c r="G5" s="170">
        <v>20129202.600000001</v>
      </c>
      <c r="H5" s="169">
        <v>0</v>
      </c>
      <c r="I5" s="169">
        <f>E5-F5</f>
        <v>278964978</v>
      </c>
      <c r="J5" s="36">
        <f t="shared" si="0"/>
        <v>5.9203537058823539</v>
      </c>
    </row>
    <row r="6" spans="1:44" s="172" customFormat="1" ht="105" x14ac:dyDescent="0.25">
      <c r="A6" s="167">
        <v>20</v>
      </c>
      <c r="B6" s="168" t="s">
        <v>275</v>
      </c>
      <c r="C6" s="168" t="s">
        <v>277</v>
      </c>
      <c r="D6" s="168" t="s">
        <v>278</v>
      </c>
      <c r="E6" s="169">
        <v>100000000</v>
      </c>
      <c r="F6" s="169">
        <v>0</v>
      </c>
      <c r="G6" s="170">
        <v>0</v>
      </c>
      <c r="H6" s="169">
        <v>0</v>
      </c>
      <c r="I6" s="169">
        <v>100000000</v>
      </c>
      <c r="J6" s="19">
        <f t="shared" si="0"/>
        <v>0</v>
      </c>
    </row>
    <row r="7" spans="1:44" s="172" customFormat="1" ht="105" x14ac:dyDescent="0.25">
      <c r="A7" s="167">
        <v>23</v>
      </c>
      <c r="B7" s="168" t="s">
        <v>279</v>
      </c>
      <c r="C7" s="168" t="s">
        <v>280</v>
      </c>
      <c r="D7" s="168" t="s">
        <v>278</v>
      </c>
      <c r="E7" s="169">
        <v>412284584</v>
      </c>
      <c r="F7" s="169">
        <v>308989166</v>
      </c>
      <c r="G7" s="170">
        <v>265028830</v>
      </c>
      <c r="H7" s="169">
        <v>9866666</v>
      </c>
      <c r="I7" s="169">
        <f>E7-F7</f>
        <v>103295418</v>
      </c>
      <c r="J7" s="67">
        <f t="shared" si="0"/>
        <v>64.282983231796024</v>
      </c>
    </row>
    <row r="8" spans="1:44" s="172" customFormat="1" ht="60" x14ac:dyDescent="0.25">
      <c r="A8" s="167">
        <v>23</v>
      </c>
      <c r="B8" s="168" t="s">
        <v>279</v>
      </c>
      <c r="C8" s="168" t="s">
        <v>281</v>
      </c>
      <c r="D8" s="168" t="s">
        <v>282</v>
      </c>
      <c r="E8" s="169">
        <v>49000000</v>
      </c>
      <c r="F8" s="169">
        <v>49000000</v>
      </c>
      <c r="G8" s="170">
        <v>49000000</v>
      </c>
      <c r="H8" s="169">
        <v>39000000</v>
      </c>
      <c r="I8" s="169">
        <v>0</v>
      </c>
      <c r="J8" s="171">
        <f t="shared" si="0"/>
        <v>100</v>
      </c>
    </row>
    <row r="9" spans="1:44" s="172" customFormat="1" ht="120" x14ac:dyDescent="0.25">
      <c r="A9" s="167">
        <v>27</v>
      </c>
      <c r="B9" s="168" t="s">
        <v>283</v>
      </c>
      <c r="C9" s="168" t="s">
        <v>284</v>
      </c>
      <c r="D9" s="168" t="s">
        <v>285</v>
      </c>
      <c r="E9" s="169">
        <v>270132263.98000002</v>
      </c>
      <c r="F9" s="169">
        <v>0</v>
      </c>
      <c r="G9" s="170">
        <v>0</v>
      </c>
      <c r="H9" s="169">
        <v>0</v>
      </c>
      <c r="I9" s="169">
        <v>270132263.98000002</v>
      </c>
      <c r="J9" s="19">
        <f t="shared" si="0"/>
        <v>0</v>
      </c>
    </row>
    <row r="10" spans="1:44" s="172" customFormat="1" ht="105" hidden="1" x14ac:dyDescent="0.25">
      <c r="A10" s="167">
        <v>27</v>
      </c>
      <c r="B10" s="168" t="s">
        <v>283</v>
      </c>
      <c r="C10" s="168" t="s">
        <v>286</v>
      </c>
      <c r="D10" s="168" t="s">
        <v>287</v>
      </c>
      <c r="E10" s="169">
        <v>0</v>
      </c>
      <c r="F10" s="169">
        <v>0</v>
      </c>
      <c r="G10" s="170">
        <v>0</v>
      </c>
      <c r="H10" s="169">
        <v>0</v>
      </c>
      <c r="I10" s="169">
        <v>0</v>
      </c>
      <c r="J10" s="19" t="e">
        <f t="shared" si="0"/>
        <v>#DIV/0!</v>
      </c>
    </row>
    <row r="11" spans="1:44" s="172" customFormat="1" ht="135" x14ac:dyDescent="0.25">
      <c r="A11" s="167">
        <v>27</v>
      </c>
      <c r="B11" s="168" t="s">
        <v>283</v>
      </c>
      <c r="C11" s="168" t="s">
        <v>288</v>
      </c>
      <c r="D11" s="168" t="s">
        <v>289</v>
      </c>
      <c r="E11" s="169">
        <v>1051663049.29</v>
      </c>
      <c r="F11" s="169">
        <v>0</v>
      </c>
      <c r="G11" s="170">
        <v>0</v>
      </c>
      <c r="H11" s="169">
        <v>0</v>
      </c>
      <c r="I11" s="169">
        <v>1051663049.29</v>
      </c>
      <c r="J11" s="19">
        <f t="shared" si="0"/>
        <v>0</v>
      </c>
    </row>
    <row r="12" spans="1:44" s="172" customFormat="1" ht="105" x14ac:dyDescent="0.25">
      <c r="A12" s="167">
        <v>27</v>
      </c>
      <c r="B12" s="168" t="s">
        <v>283</v>
      </c>
      <c r="C12" s="168" t="s">
        <v>290</v>
      </c>
      <c r="D12" s="168" t="s">
        <v>291</v>
      </c>
      <c r="E12" s="169">
        <v>438933783.48000002</v>
      </c>
      <c r="F12" s="169">
        <v>0</v>
      </c>
      <c r="G12" s="170">
        <v>0</v>
      </c>
      <c r="H12" s="169">
        <v>0</v>
      </c>
      <c r="I12" s="169">
        <v>438933783.48000002</v>
      </c>
      <c r="J12" s="19">
        <f t="shared" si="0"/>
        <v>0</v>
      </c>
    </row>
    <row r="13" spans="1:44" s="172" customFormat="1" ht="90" hidden="1" x14ac:dyDescent="0.25">
      <c r="A13" s="167">
        <v>27</v>
      </c>
      <c r="B13" s="168" t="s">
        <v>283</v>
      </c>
      <c r="C13" s="168" t="s">
        <v>292</v>
      </c>
      <c r="D13" s="168" t="s">
        <v>293</v>
      </c>
      <c r="E13" s="169">
        <v>0</v>
      </c>
      <c r="F13" s="169">
        <v>0</v>
      </c>
      <c r="G13" s="170">
        <v>0</v>
      </c>
      <c r="H13" s="169">
        <v>0</v>
      </c>
      <c r="I13" s="169">
        <v>0</v>
      </c>
      <c r="J13" s="19" t="e">
        <f t="shared" si="0"/>
        <v>#DIV/0!</v>
      </c>
    </row>
    <row r="14" spans="1:44" s="172" customFormat="1" ht="105" x14ac:dyDescent="0.25">
      <c r="A14" s="167">
        <v>27</v>
      </c>
      <c r="B14" s="168" t="s">
        <v>283</v>
      </c>
      <c r="C14" s="168" t="s">
        <v>294</v>
      </c>
      <c r="D14" s="168" t="s">
        <v>295</v>
      </c>
      <c r="E14" s="169">
        <v>330943049.29000002</v>
      </c>
      <c r="F14" s="169">
        <v>0</v>
      </c>
      <c r="G14" s="170">
        <v>0</v>
      </c>
      <c r="H14" s="169">
        <v>0</v>
      </c>
      <c r="I14" s="169">
        <v>330943049.29000002</v>
      </c>
      <c r="J14" s="19">
        <f t="shared" si="0"/>
        <v>0</v>
      </c>
    </row>
    <row r="15" spans="1:44" s="172" customFormat="1" ht="120" x14ac:dyDescent="0.25">
      <c r="A15" s="167">
        <v>27</v>
      </c>
      <c r="B15" s="168" t="s">
        <v>283</v>
      </c>
      <c r="C15" s="168" t="s">
        <v>296</v>
      </c>
      <c r="D15" s="168" t="s">
        <v>297</v>
      </c>
      <c r="E15" s="169">
        <v>50286511.960000001</v>
      </c>
      <c r="F15" s="169">
        <v>0</v>
      </c>
      <c r="G15" s="170">
        <v>0</v>
      </c>
      <c r="H15" s="169">
        <v>0</v>
      </c>
      <c r="I15" s="169">
        <v>50286511.960000001</v>
      </c>
      <c r="J15" s="19">
        <f t="shared" si="0"/>
        <v>0</v>
      </c>
    </row>
    <row r="16" spans="1:44" s="172" customFormat="1" ht="90" hidden="1" x14ac:dyDescent="0.25">
      <c r="A16" s="167">
        <v>27</v>
      </c>
      <c r="B16" s="168" t="s">
        <v>283</v>
      </c>
      <c r="C16" s="168" t="s">
        <v>298</v>
      </c>
      <c r="D16" s="168" t="s">
        <v>299</v>
      </c>
      <c r="E16" s="169">
        <v>0</v>
      </c>
      <c r="F16" s="169">
        <v>0</v>
      </c>
      <c r="G16" s="170">
        <v>0</v>
      </c>
      <c r="H16" s="169">
        <v>0</v>
      </c>
      <c r="I16" s="169">
        <v>0</v>
      </c>
      <c r="J16" s="173" t="e">
        <f t="shared" si="0"/>
        <v>#DIV/0!</v>
      </c>
    </row>
    <row r="17" spans="1:12" s="172" customFormat="1" ht="75" hidden="1" x14ac:dyDescent="0.25">
      <c r="A17" s="167">
        <v>27</v>
      </c>
      <c r="B17" s="168" t="s">
        <v>283</v>
      </c>
      <c r="C17" s="168" t="s">
        <v>300</v>
      </c>
      <c r="D17" s="168" t="s">
        <v>301</v>
      </c>
      <c r="E17" s="169">
        <v>0</v>
      </c>
      <c r="F17" s="169">
        <v>0</v>
      </c>
      <c r="G17" s="170">
        <v>0</v>
      </c>
      <c r="H17" s="169">
        <v>0</v>
      </c>
      <c r="I17" s="169">
        <v>0</v>
      </c>
      <c r="J17" s="173" t="e">
        <f t="shared" si="0"/>
        <v>#DIV/0!</v>
      </c>
    </row>
    <row r="18" spans="1:12" s="172" customFormat="1" ht="90" x14ac:dyDescent="0.25">
      <c r="A18" s="167">
        <v>55</v>
      </c>
      <c r="B18" s="168" t="s">
        <v>302</v>
      </c>
      <c r="C18" s="168" t="s">
        <v>303</v>
      </c>
      <c r="D18" s="168" t="s">
        <v>272</v>
      </c>
      <c r="E18" s="169">
        <v>20519904</v>
      </c>
      <c r="F18" s="169">
        <v>20519904</v>
      </c>
      <c r="G18" s="170">
        <v>20519904</v>
      </c>
      <c r="H18" s="169">
        <v>0</v>
      </c>
      <c r="I18" s="169">
        <v>0</v>
      </c>
      <c r="J18" s="171">
        <f t="shared" si="0"/>
        <v>100</v>
      </c>
      <c r="L18" s="174" t="s">
        <v>36</v>
      </c>
    </row>
    <row r="19" spans="1:12" s="172" customFormat="1" ht="60" hidden="1" x14ac:dyDescent="0.25">
      <c r="A19" s="167">
        <v>88</v>
      </c>
      <c r="B19" s="168" t="s">
        <v>304</v>
      </c>
      <c r="C19" s="168" t="s">
        <v>305</v>
      </c>
      <c r="D19" s="168" t="s">
        <v>282</v>
      </c>
      <c r="E19" s="169">
        <v>0</v>
      </c>
      <c r="F19" s="169">
        <v>0</v>
      </c>
      <c r="G19" s="170">
        <v>0</v>
      </c>
      <c r="H19" s="169">
        <v>0</v>
      </c>
      <c r="I19" s="169">
        <v>0</v>
      </c>
      <c r="J19" s="173" t="e">
        <f t="shared" si="0"/>
        <v>#DIV/0!</v>
      </c>
    </row>
    <row r="20" spans="1:12" s="172" customFormat="1" ht="105" x14ac:dyDescent="0.25">
      <c r="A20" s="167">
        <v>88</v>
      </c>
      <c r="B20" s="168" t="s">
        <v>304</v>
      </c>
      <c r="C20" s="168" t="s">
        <v>306</v>
      </c>
      <c r="D20" s="168" t="s">
        <v>278</v>
      </c>
      <c r="E20" s="169">
        <v>363293889</v>
      </c>
      <c r="F20" s="169">
        <v>0</v>
      </c>
      <c r="G20" s="170">
        <v>0</v>
      </c>
      <c r="H20" s="169">
        <v>0</v>
      </c>
      <c r="I20" s="169">
        <v>363293889</v>
      </c>
      <c r="J20" s="19">
        <f t="shared" si="0"/>
        <v>0</v>
      </c>
    </row>
    <row r="21" spans="1:12" s="172" customFormat="1" ht="105" x14ac:dyDescent="0.25">
      <c r="A21" s="167">
        <v>89</v>
      </c>
      <c r="B21" s="168" t="s">
        <v>307</v>
      </c>
      <c r="C21" s="168" t="s">
        <v>308</v>
      </c>
      <c r="D21" s="168" t="s">
        <v>278</v>
      </c>
      <c r="E21" s="169">
        <v>40971757</v>
      </c>
      <c r="F21" s="169">
        <v>0</v>
      </c>
      <c r="G21" s="170">
        <v>0</v>
      </c>
      <c r="H21" s="169">
        <v>0</v>
      </c>
      <c r="I21" s="169">
        <v>40971757</v>
      </c>
      <c r="J21" s="19">
        <f t="shared" si="0"/>
        <v>0</v>
      </c>
    </row>
    <row r="22" spans="1:12" s="172" customFormat="1" ht="60" hidden="1" x14ac:dyDescent="0.25">
      <c r="A22" s="167">
        <v>89</v>
      </c>
      <c r="B22" s="168" t="s">
        <v>307</v>
      </c>
      <c r="C22" s="168" t="s">
        <v>309</v>
      </c>
      <c r="D22" s="168" t="s">
        <v>282</v>
      </c>
      <c r="E22" s="169">
        <v>0</v>
      </c>
      <c r="F22" s="169">
        <v>0</v>
      </c>
      <c r="G22" s="170">
        <v>0</v>
      </c>
      <c r="H22" s="169">
        <v>0</v>
      </c>
      <c r="I22" s="169">
        <v>0</v>
      </c>
      <c r="J22" s="19" t="e">
        <f t="shared" si="0"/>
        <v>#DIV/0!</v>
      </c>
    </row>
    <row r="23" spans="1:12" s="172" customFormat="1" ht="90" hidden="1" x14ac:dyDescent="0.25">
      <c r="A23" s="167">
        <v>90</v>
      </c>
      <c r="B23" s="168" t="s">
        <v>310</v>
      </c>
      <c r="C23" s="168" t="s">
        <v>311</v>
      </c>
      <c r="D23" s="168" t="s">
        <v>312</v>
      </c>
      <c r="E23" s="169">
        <v>0</v>
      </c>
      <c r="F23" s="169">
        <v>0</v>
      </c>
      <c r="G23" s="170">
        <v>0</v>
      </c>
      <c r="H23" s="169">
        <v>0</v>
      </c>
      <c r="I23" s="169">
        <v>0</v>
      </c>
      <c r="J23" s="19" t="e">
        <f t="shared" si="0"/>
        <v>#DIV/0!</v>
      </c>
    </row>
    <row r="24" spans="1:12" s="172" customFormat="1" ht="90" x14ac:dyDescent="0.25">
      <c r="A24" s="167">
        <v>90</v>
      </c>
      <c r="B24" s="168" t="s">
        <v>310</v>
      </c>
      <c r="C24" s="168" t="s">
        <v>313</v>
      </c>
      <c r="D24" s="168" t="s">
        <v>314</v>
      </c>
      <c r="E24" s="169">
        <v>106758463</v>
      </c>
      <c r="F24" s="169">
        <v>106758463</v>
      </c>
      <c r="G24" s="170">
        <v>0</v>
      </c>
      <c r="H24" s="169">
        <v>0</v>
      </c>
      <c r="I24" s="169">
        <v>0</v>
      </c>
      <c r="J24" s="19">
        <f t="shared" si="0"/>
        <v>0</v>
      </c>
    </row>
    <row r="25" spans="1:12" s="180" customFormat="1" ht="26.25" customHeight="1" x14ac:dyDescent="0.25">
      <c r="A25" s="175"/>
      <c r="B25" s="176"/>
      <c r="C25" s="176"/>
      <c r="D25" s="177" t="s">
        <v>28</v>
      </c>
      <c r="E25" s="178">
        <f>SUM(E3:E24)</f>
        <v>8904787255</v>
      </c>
      <c r="F25" s="178">
        <f>SUM(F3:F24)</f>
        <v>916753530</v>
      </c>
      <c r="G25" s="178">
        <f>SUM(G3:G24)</f>
        <v>643847958.29999995</v>
      </c>
      <c r="H25" s="178">
        <f>SUM(H3:H24)</f>
        <v>105522666</v>
      </c>
      <c r="I25" s="178">
        <f>SUM(I3:I24)</f>
        <v>7988033725</v>
      </c>
      <c r="J25" s="179">
        <f t="shared" si="0"/>
        <v>7.2303575578235417</v>
      </c>
    </row>
    <row r="26" spans="1:12" s="180" customFormat="1" x14ac:dyDescent="0.25">
      <c r="A26" s="181"/>
      <c r="B26" s="182"/>
      <c r="C26" s="182"/>
      <c r="D26" s="182" t="s">
        <v>315</v>
      </c>
      <c r="E26" s="181">
        <v>100</v>
      </c>
      <c r="F26" s="183">
        <f>+F25/E25*100</f>
        <v>10.295063809472223</v>
      </c>
      <c r="G26" s="183">
        <f>+G25/E25*100</f>
        <v>7.2303575578235417</v>
      </c>
      <c r="H26" s="183">
        <f>+H25/E25*100</f>
        <v>1.1850105227471828</v>
      </c>
      <c r="I26" s="183">
        <f>+I25/E25*100</f>
        <v>89.704936190527775</v>
      </c>
      <c r="J26" s="179">
        <f t="shared" si="0"/>
        <v>7.2303575578235417</v>
      </c>
    </row>
    <row r="27" spans="1:12" s="180" customFormat="1" x14ac:dyDescent="0.25">
      <c r="A27" s="184"/>
      <c r="J27" s="185"/>
    </row>
  </sheetData>
  <sheetProtection algorithmName="SHA-512" hashValue="Es95B19bYPzlaKbBmmq+2rO+LNk8SUFAIriK+hRQAhGgTHWMwSv3ayMB+gNlPgYkcvXObhj20fiZAp8zZ5Wy8w==" saltValue="oYRMGErsnuLqt2OoWb9ZWg==" spinCount="100000" sheet="1" objects="1" scenarios="1"/>
  <mergeCells count="1">
    <mergeCell ref="A1:J1"/>
  </mergeCells>
  <pageMargins left="0.7" right="0.7" top="0.75" bottom="0.75" header="0.3" footer="0.3"/>
  <pageSetup scale="44" orientation="portrait" r:id="rId1"/>
  <colBreaks count="1" manualBreakCount="1">
    <brk id="10"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3"/>
  <sheetViews>
    <sheetView topLeftCell="A10" zoomScale="60" zoomScaleNormal="60" workbookViewId="0">
      <selection activeCell="D27" sqref="D27"/>
    </sheetView>
  </sheetViews>
  <sheetFormatPr baseColWidth="10" defaultRowHeight="15" x14ac:dyDescent="0.25"/>
  <cols>
    <col min="2" max="2" width="21.5703125" style="4" customWidth="1"/>
    <col min="3" max="3" width="19.85546875" customWidth="1"/>
    <col min="4" max="4" width="26.140625" customWidth="1"/>
    <col min="5" max="5" width="15.7109375" customWidth="1"/>
    <col min="6" max="6" width="42.42578125" customWidth="1"/>
    <col min="7" max="7" width="17.42578125" customWidth="1"/>
    <col min="8" max="8" width="18.42578125" hidden="1" customWidth="1"/>
    <col min="9" max="9" width="29.5703125" hidden="1" customWidth="1"/>
    <col min="10" max="10" width="27.42578125" style="5" customWidth="1"/>
    <col min="11" max="11" width="27.140625" style="5" customWidth="1"/>
    <col min="12" max="12" width="24.85546875" style="5" customWidth="1"/>
    <col min="13" max="13" width="41.42578125" customWidth="1"/>
  </cols>
  <sheetData>
    <row r="1" spans="2:13" s="2" customFormat="1" ht="18.75" x14ac:dyDescent="0.3">
      <c r="B1" s="1"/>
      <c r="J1" s="3"/>
      <c r="K1" s="3"/>
      <c r="L1" s="3"/>
    </row>
    <row r="2" spans="2:13" s="2" customFormat="1" ht="18.75" x14ac:dyDescent="0.3">
      <c r="B2" s="236" t="s">
        <v>0</v>
      </c>
      <c r="C2" s="236"/>
      <c r="D2" s="236"/>
      <c r="E2" s="236"/>
      <c r="F2" s="236"/>
      <c r="G2" s="236"/>
      <c r="H2" s="236"/>
      <c r="I2" s="236"/>
      <c r="J2" s="236"/>
      <c r="K2" s="236"/>
      <c r="L2" s="236"/>
      <c r="M2" s="236"/>
    </row>
    <row r="3" spans="2:13" s="2" customFormat="1" ht="18.75" x14ac:dyDescent="0.3">
      <c r="B3" s="236" t="s">
        <v>107</v>
      </c>
      <c r="C3" s="236"/>
      <c r="D3" s="236"/>
      <c r="E3" s="236"/>
      <c r="F3" s="236"/>
      <c r="G3" s="236"/>
      <c r="H3" s="236"/>
      <c r="I3" s="236"/>
      <c r="J3" s="236"/>
      <c r="K3" s="236"/>
      <c r="L3" s="236"/>
      <c r="M3" s="236"/>
    </row>
    <row r="4" spans="2:13" s="2" customFormat="1" ht="18.75" x14ac:dyDescent="0.3">
      <c r="B4" s="236" t="s">
        <v>2</v>
      </c>
      <c r="C4" s="236"/>
      <c r="D4" s="236"/>
      <c r="E4" s="236"/>
      <c r="F4" s="236"/>
      <c r="G4" s="236"/>
      <c r="H4" s="236"/>
      <c r="I4" s="236"/>
      <c r="J4" s="236"/>
      <c r="K4" s="236"/>
      <c r="L4" s="236"/>
      <c r="M4" s="236"/>
    </row>
    <row r="6" spans="2:13" ht="72" customHeight="1" x14ac:dyDescent="0.25">
      <c r="B6" s="6" t="s">
        <v>3</v>
      </c>
      <c r="C6" s="7" t="s">
        <v>4</v>
      </c>
      <c r="D6" s="7" t="s">
        <v>5</v>
      </c>
      <c r="E6" s="7" t="s">
        <v>6</v>
      </c>
      <c r="F6" s="7" t="s">
        <v>7</v>
      </c>
      <c r="G6" s="7" t="s">
        <v>8</v>
      </c>
      <c r="H6" s="7" t="s">
        <v>9</v>
      </c>
      <c r="I6" s="7" t="s">
        <v>10</v>
      </c>
      <c r="J6" s="6" t="s">
        <v>11</v>
      </c>
      <c r="K6" s="7" t="s">
        <v>12</v>
      </c>
      <c r="L6" s="7" t="s">
        <v>13</v>
      </c>
      <c r="M6" s="8" t="s">
        <v>14</v>
      </c>
    </row>
    <row r="7" spans="2:13" ht="87" customHeight="1" x14ac:dyDescent="0.25">
      <c r="B7" s="9">
        <v>1</v>
      </c>
      <c r="C7" s="123">
        <v>282</v>
      </c>
      <c r="D7" s="105" t="s">
        <v>188</v>
      </c>
      <c r="E7" s="124" t="s">
        <v>16</v>
      </c>
      <c r="F7" s="125">
        <v>2</v>
      </c>
      <c r="G7" s="126">
        <v>0</v>
      </c>
      <c r="H7" s="37" t="s">
        <v>189</v>
      </c>
      <c r="I7" s="105" t="s">
        <v>190</v>
      </c>
      <c r="J7" s="127">
        <v>60000000</v>
      </c>
      <c r="K7" s="128">
        <v>0</v>
      </c>
      <c r="L7" s="128">
        <v>0</v>
      </c>
      <c r="M7" s="36">
        <f>+G7/F7*100</f>
        <v>0</v>
      </c>
    </row>
    <row r="8" spans="2:13" ht="94.5" customHeight="1" x14ac:dyDescent="0.25">
      <c r="B8" s="9">
        <v>2</v>
      </c>
      <c r="C8" s="10">
        <v>283</v>
      </c>
      <c r="D8" s="41" t="s">
        <v>191</v>
      </c>
      <c r="E8" s="12" t="s">
        <v>16</v>
      </c>
      <c r="F8" s="70">
        <v>1</v>
      </c>
      <c r="G8" s="14" t="s">
        <v>192</v>
      </c>
      <c r="H8" s="15" t="s">
        <v>193</v>
      </c>
      <c r="I8" s="41" t="s">
        <v>194</v>
      </c>
      <c r="J8" s="129">
        <v>128268225</v>
      </c>
      <c r="K8" s="128">
        <v>0</v>
      </c>
      <c r="L8" s="130">
        <v>0</v>
      </c>
      <c r="M8" s="36" t="e">
        <f t="shared" ref="M8:M11" si="0">+G8/F8*100</f>
        <v>#VALUE!</v>
      </c>
    </row>
    <row r="9" spans="2:13" ht="124.5" customHeight="1" x14ac:dyDescent="0.25">
      <c r="B9" s="9">
        <v>3</v>
      </c>
      <c r="C9" s="131">
        <v>284</v>
      </c>
      <c r="D9" s="132" t="s">
        <v>195</v>
      </c>
      <c r="E9" s="133">
        <v>1</v>
      </c>
      <c r="F9" s="134">
        <v>1</v>
      </c>
      <c r="G9" s="135">
        <v>0.24868142577450059</v>
      </c>
      <c r="H9" s="15" t="s">
        <v>196</v>
      </c>
      <c r="I9" s="41" t="s">
        <v>197</v>
      </c>
      <c r="J9" s="129">
        <v>102471099</v>
      </c>
      <c r="K9" s="128">
        <v>42471099</v>
      </c>
      <c r="L9" s="130">
        <v>25482659</v>
      </c>
      <c r="M9" s="36">
        <f t="shared" si="0"/>
        <v>24.868142577450058</v>
      </c>
    </row>
    <row r="10" spans="2:13" ht="102" customHeight="1" x14ac:dyDescent="0.25">
      <c r="B10" s="9">
        <v>4</v>
      </c>
      <c r="C10" s="10">
        <v>285</v>
      </c>
      <c r="D10" s="41" t="s">
        <v>198</v>
      </c>
      <c r="E10" s="12">
        <v>1</v>
      </c>
      <c r="F10" s="70">
        <v>1</v>
      </c>
      <c r="G10" s="136">
        <v>0.80424851756071913</v>
      </c>
      <c r="H10" s="15" t="s">
        <v>199</v>
      </c>
      <c r="I10" s="41" t="s">
        <v>200</v>
      </c>
      <c r="J10" s="129">
        <v>120637656</v>
      </c>
      <c r="K10" s="128">
        <v>113137656</v>
      </c>
      <c r="L10" s="130">
        <v>97022656</v>
      </c>
      <c r="M10" s="95">
        <f t="shared" si="0"/>
        <v>80.424851756071916</v>
      </c>
    </row>
    <row r="11" spans="2:13" ht="113.25" customHeight="1" x14ac:dyDescent="0.25">
      <c r="B11" s="9">
        <v>5</v>
      </c>
      <c r="C11" s="131">
        <v>287</v>
      </c>
      <c r="D11" s="132" t="s">
        <v>201</v>
      </c>
      <c r="E11" s="133">
        <v>1</v>
      </c>
      <c r="F11" s="134">
        <v>1</v>
      </c>
      <c r="G11" s="137">
        <v>0</v>
      </c>
      <c r="H11" s="138" t="s">
        <v>202</v>
      </c>
      <c r="I11" s="139" t="s">
        <v>203</v>
      </c>
      <c r="J11" s="140">
        <v>131500000</v>
      </c>
      <c r="K11" s="141">
        <v>10500000</v>
      </c>
      <c r="L11" s="142">
        <v>0</v>
      </c>
      <c r="M11" s="36">
        <f t="shared" si="0"/>
        <v>0</v>
      </c>
    </row>
    <row r="12" spans="2:13" ht="42" customHeight="1" x14ac:dyDescent="0.25">
      <c r="B12" s="143"/>
      <c r="C12" s="24"/>
      <c r="D12" s="24" t="s">
        <v>28</v>
      </c>
      <c r="E12" s="24"/>
      <c r="F12" s="24"/>
      <c r="G12" s="24"/>
      <c r="H12" s="24"/>
      <c r="I12" s="24"/>
      <c r="J12" s="144">
        <f>SUM(J7:J11)</f>
        <v>542876980</v>
      </c>
      <c r="K12" s="144">
        <f t="shared" ref="K12:L12" si="1">SUM(K7:K11)</f>
        <v>166108755</v>
      </c>
      <c r="L12" s="144">
        <f t="shared" si="1"/>
        <v>122505315</v>
      </c>
      <c r="M12" s="9"/>
    </row>
    <row r="18" spans="6:10" ht="45" x14ac:dyDescent="0.25">
      <c r="F18" s="20" t="s">
        <v>22</v>
      </c>
      <c r="G18" s="21" t="s">
        <v>23</v>
      </c>
      <c r="H18" s="22" t="s">
        <v>24</v>
      </c>
      <c r="J18" s="23" t="s">
        <v>24</v>
      </c>
    </row>
    <row r="19" spans="6:10" x14ac:dyDescent="0.25">
      <c r="F19" s="24" t="s">
        <v>25</v>
      </c>
      <c r="G19" s="9">
        <v>1</v>
      </c>
      <c r="H19" s="9"/>
      <c r="J19" s="25">
        <f>+G19/$G$22*100</f>
        <v>20</v>
      </c>
    </row>
    <row r="20" spans="6:10" x14ac:dyDescent="0.25">
      <c r="F20" s="24" t="s">
        <v>26</v>
      </c>
      <c r="G20" s="9">
        <v>0</v>
      </c>
      <c r="H20" s="78"/>
      <c r="J20" s="25">
        <f t="shared" ref="J20:J22" si="2">+G20/$G$22*100</f>
        <v>0</v>
      </c>
    </row>
    <row r="21" spans="6:10" x14ac:dyDescent="0.25">
      <c r="F21" s="24" t="s">
        <v>27</v>
      </c>
      <c r="G21" s="9">
        <v>4</v>
      </c>
      <c r="H21" s="78"/>
      <c r="J21" s="25">
        <f t="shared" si="2"/>
        <v>80</v>
      </c>
    </row>
    <row r="22" spans="6:10" x14ac:dyDescent="0.25">
      <c r="F22" s="79" t="s">
        <v>28</v>
      </c>
      <c r="G22" s="51">
        <f>SUM(G19:G21)</f>
        <v>5</v>
      </c>
      <c r="H22" s="51"/>
      <c r="J22" s="25">
        <f t="shared" si="2"/>
        <v>100</v>
      </c>
    </row>
    <row r="23" spans="6:10" x14ac:dyDescent="0.25">
      <c r="G23" s="54"/>
    </row>
  </sheetData>
  <sheetProtection algorithmName="SHA-512" hashValue="ayxCkGg2uyp7Zvcmj1T6wFuPA7u3CmI4Nryy2CV6tkF2ZwhBN5hCiibr/woOceNsTuds5HL9mDxNEGPKpETFNg==" saltValue="sOwx0uoHP9THnaWZVntnpg==" spinCount="100000" sheet="1" objects="1" scenarios="1"/>
  <mergeCells count="3">
    <mergeCell ref="B2:M2"/>
    <mergeCell ref="B3:M3"/>
    <mergeCell ref="B4:M4"/>
  </mergeCells>
  <pageMargins left="0.7" right="0.7" top="0.75" bottom="0.75" header="0.3" footer="0.3"/>
  <pageSetup scale="4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6"/>
  <sheetViews>
    <sheetView topLeftCell="C1" zoomScale="80" zoomScaleNormal="80" workbookViewId="0">
      <selection activeCell="F23" sqref="F23"/>
    </sheetView>
  </sheetViews>
  <sheetFormatPr baseColWidth="10" defaultRowHeight="15" x14ac:dyDescent="0.25"/>
  <cols>
    <col min="3" max="3" width="16.42578125" customWidth="1"/>
    <col min="4" max="4" width="16.28515625" customWidth="1"/>
    <col min="5" max="5" width="27.85546875" customWidth="1"/>
    <col min="8" max="8" width="19.28515625" customWidth="1"/>
    <col min="9" max="9" width="22.7109375" customWidth="1"/>
    <col min="10" max="10" width="21.42578125" customWidth="1"/>
    <col min="11" max="11" width="14.85546875" customWidth="1"/>
    <col min="12" max="12" width="19.140625" customWidth="1"/>
    <col min="13" max="13" width="16.42578125" customWidth="1"/>
    <col min="14" max="14" width="23.140625" customWidth="1"/>
  </cols>
  <sheetData>
    <row r="1" spans="3:14" ht="18.75" x14ac:dyDescent="0.3">
      <c r="C1" s="1"/>
      <c r="D1" s="2"/>
      <c r="E1" s="2"/>
      <c r="F1" s="2"/>
      <c r="G1" s="2"/>
      <c r="H1" s="2"/>
      <c r="I1" s="2"/>
      <c r="J1" s="2"/>
      <c r="K1" s="3"/>
      <c r="L1" s="3"/>
      <c r="M1" s="3"/>
      <c r="N1" s="2"/>
    </row>
    <row r="2" spans="3:14" ht="18.75" x14ac:dyDescent="0.3">
      <c r="C2" s="236" t="s">
        <v>0</v>
      </c>
      <c r="D2" s="236"/>
      <c r="E2" s="236"/>
      <c r="F2" s="236"/>
      <c r="G2" s="236"/>
      <c r="H2" s="236"/>
      <c r="I2" s="236"/>
      <c r="J2" s="236"/>
      <c r="K2" s="236"/>
      <c r="L2" s="236"/>
      <c r="M2" s="236"/>
      <c r="N2" s="236"/>
    </row>
    <row r="3" spans="3:14" ht="18.75" x14ac:dyDescent="0.3">
      <c r="C3" s="236" t="s">
        <v>107</v>
      </c>
      <c r="D3" s="236"/>
      <c r="E3" s="236"/>
      <c r="F3" s="236"/>
      <c r="G3" s="236"/>
      <c r="H3" s="236"/>
      <c r="I3" s="236"/>
      <c r="J3" s="236"/>
      <c r="K3" s="236"/>
      <c r="L3" s="236"/>
      <c r="M3" s="236"/>
      <c r="N3" s="236"/>
    </row>
    <row r="4" spans="3:14" ht="18.75" x14ac:dyDescent="0.3">
      <c r="C4" s="236" t="s">
        <v>2</v>
      </c>
      <c r="D4" s="236"/>
      <c r="E4" s="236"/>
      <c r="F4" s="236"/>
      <c r="G4" s="236"/>
      <c r="H4" s="236"/>
      <c r="I4" s="236"/>
      <c r="J4" s="236"/>
      <c r="K4" s="236"/>
      <c r="L4" s="236"/>
      <c r="M4" s="236"/>
      <c r="N4" s="236"/>
    </row>
    <row r="5" spans="3:14" x14ac:dyDescent="0.25">
      <c r="C5" s="4"/>
      <c r="K5" s="5"/>
      <c r="L5" s="5"/>
      <c r="M5" s="5"/>
    </row>
    <row r="6" spans="3:14" ht="75" x14ac:dyDescent="0.25">
      <c r="C6" s="6" t="s">
        <v>3</v>
      </c>
      <c r="D6" s="7" t="s">
        <v>4</v>
      </c>
      <c r="E6" s="7" t="s">
        <v>5</v>
      </c>
      <c r="F6" s="7" t="s">
        <v>6</v>
      </c>
      <c r="G6" s="7" t="s">
        <v>7</v>
      </c>
      <c r="H6" s="7" t="s">
        <v>8</v>
      </c>
      <c r="I6" s="7" t="s">
        <v>9</v>
      </c>
      <c r="J6" s="7" t="s">
        <v>10</v>
      </c>
      <c r="K6" s="6" t="s">
        <v>11</v>
      </c>
      <c r="L6" s="7" t="s">
        <v>12</v>
      </c>
      <c r="M6" s="7" t="s">
        <v>13</v>
      </c>
      <c r="N6" s="8" t="s">
        <v>14</v>
      </c>
    </row>
  </sheetData>
  <mergeCells count="3">
    <mergeCell ref="C2:N2"/>
    <mergeCell ref="C3:N3"/>
    <mergeCell ref="C4:N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38"/>
  <sheetViews>
    <sheetView zoomScale="60" zoomScaleNormal="60" workbookViewId="0">
      <selection activeCell="N28" sqref="N28"/>
    </sheetView>
  </sheetViews>
  <sheetFormatPr baseColWidth="10" defaultRowHeight="15" x14ac:dyDescent="0.25"/>
  <cols>
    <col min="2" max="2" width="11.42578125" style="54"/>
    <col min="3" max="3" width="23.140625" customWidth="1"/>
    <col min="4" max="4" width="32.140625" customWidth="1"/>
    <col min="5" max="5" width="22" customWidth="1"/>
    <col min="6" max="6" width="22.42578125" customWidth="1"/>
    <col min="7" max="7" width="19.5703125" customWidth="1"/>
    <col min="8" max="8" width="17.85546875" hidden="1" customWidth="1"/>
    <col min="9" max="9" width="17.42578125" hidden="1" customWidth="1"/>
    <col min="10" max="10" width="31.42578125" hidden="1" customWidth="1"/>
    <col min="11" max="11" width="24.28515625" style="80" customWidth="1"/>
    <col min="12" max="12" width="23.28515625" style="80" customWidth="1"/>
    <col min="13" max="13" width="27.140625" style="80" customWidth="1"/>
    <col min="14" max="14" width="33.5703125" customWidth="1"/>
  </cols>
  <sheetData>
    <row r="2" spans="2:14" x14ac:dyDescent="0.25">
      <c r="B2" s="247" t="s">
        <v>52</v>
      </c>
      <c r="C2" s="247"/>
      <c r="D2" s="247"/>
      <c r="E2" s="247"/>
      <c r="F2" s="247"/>
      <c r="G2" s="247"/>
      <c r="H2" s="247"/>
      <c r="I2" s="247"/>
      <c r="J2" s="247"/>
      <c r="K2" s="247"/>
      <c r="L2" s="247"/>
      <c r="M2" s="247"/>
      <c r="N2" s="247"/>
    </row>
    <row r="3" spans="2:14" x14ac:dyDescent="0.25">
      <c r="B3" s="247" t="s">
        <v>53</v>
      </c>
      <c r="C3" s="247"/>
      <c r="D3" s="247"/>
      <c r="E3" s="247"/>
      <c r="F3" s="247"/>
      <c r="G3" s="247"/>
      <c r="H3" s="247"/>
      <c r="I3" s="247"/>
      <c r="J3" s="247"/>
      <c r="K3" s="247"/>
      <c r="L3" s="247"/>
      <c r="M3" s="247"/>
      <c r="N3" s="247"/>
    </row>
    <row r="4" spans="2:14" x14ac:dyDescent="0.25">
      <c r="B4" s="247" t="s">
        <v>54</v>
      </c>
      <c r="C4" s="247"/>
      <c r="D4" s="247"/>
      <c r="E4" s="247"/>
      <c r="F4" s="247"/>
      <c r="G4" s="247"/>
      <c r="H4" s="247"/>
      <c r="I4" s="247"/>
      <c r="J4" s="247"/>
      <c r="K4" s="247"/>
      <c r="L4" s="247"/>
      <c r="M4" s="247"/>
      <c r="N4" s="247"/>
    </row>
    <row r="5" spans="2:14" x14ac:dyDescent="0.25">
      <c r="B5" s="248"/>
      <c r="C5" s="248"/>
      <c r="D5" s="248"/>
      <c r="E5" s="248"/>
      <c r="F5" s="248"/>
      <c r="G5" s="248"/>
      <c r="H5" s="248"/>
      <c r="I5" s="248"/>
      <c r="J5" s="248"/>
      <c r="K5" s="248"/>
      <c r="L5" s="248"/>
      <c r="M5" s="248"/>
      <c r="N5" s="248"/>
    </row>
    <row r="7" spans="2:14" ht="93" customHeight="1" x14ac:dyDescent="0.25">
      <c r="B7" s="55" t="s">
        <v>55</v>
      </c>
      <c r="C7" s="56" t="s">
        <v>56</v>
      </c>
      <c r="D7" s="57" t="s">
        <v>57</v>
      </c>
      <c r="E7" s="56" t="s">
        <v>6</v>
      </c>
      <c r="F7" s="56" t="s">
        <v>58</v>
      </c>
      <c r="G7" s="56" t="s">
        <v>8</v>
      </c>
      <c r="H7" s="57"/>
      <c r="I7" s="57"/>
      <c r="J7" s="57"/>
      <c r="K7" s="56" t="s">
        <v>59</v>
      </c>
      <c r="L7" s="58" t="s">
        <v>60</v>
      </c>
      <c r="M7" s="58" t="s">
        <v>61</v>
      </c>
      <c r="N7" s="59" t="s">
        <v>14</v>
      </c>
    </row>
    <row r="8" spans="2:14" ht="99.75" x14ac:dyDescent="0.25">
      <c r="B8" s="9">
        <v>1</v>
      </c>
      <c r="C8" s="10">
        <v>246</v>
      </c>
      <c r="D8" s="41" t="s">
        <v>62</v>
      </c>
      <c r="E8" s="12" t="s">
        <v>16</v>
      </c>
      <c r="F8" s="12">
        <v>13</v>
      </c>
      <c r="G8" s="60">
        <v>0</v>
      </c>
      <c r="H8" s="61"/>
      <c r="I8" s="15" t="s">
        <v>63</v>
      </c>
      <c r="J8" s="41" t="s">
        <v>64</v>
      </c>
      <c r="K8" s="62">
        <v>30000000</v>
      </c>
      <c r="L8" s="62">
        <v>20000000</v>
      </c>
      <c r="M8" s="62">
        <v>5000000</v>
      </c>
      <c r="N8" s="36">
        <f>+G8/F8*100</f>
        <v>0</v>
      </c>
    </row>
    <row r="9" spans="2:14" ht="71.25" x14ac:dyDescent="0.25">
      <c r="B9" s="9">
        <v>2</v>
      </c>
      <c r="C9" s="10">
        <v>248</v>
      </c>
      <c r="D9" s="63" t="s">
        <v>65</v>
      </c>
      <c r="E9" s="12" t="s">
        <v>16</v>
      </c>
      <c r="F9" s="12">
        <v>12</v>
      </c>
      <c r="G9" s="64"/>
      <c r="H9" s="61"/>
      <c r="I9" s="15" t="s">
        <v>66</v>
      </c>
      <c r="J9" s="41" t="s">
        <v>67</v>
      </c>
      <c r="K9" s="62">
        <v>25000000</v>
      </c>
      <c r="L9" s="62">
        <v>0</v>
      </c>
      <c r="M9" s="62">
        <v>0</v>
      </c>
      <c r="N9" s="36">
        <f t="shared" ref="N9:N29" si="0">+G9/F9*100</f>
        <v>0</v>
      </c>
    </row>
    <row r="10" spans="2:14" ht="57" x14ac:dyDescent="0.25">
      <c r="B10" s="9">
        <v>3</v>
      </c>
      <c r="C10" s="10">
        <v>249</v>
      </c>
      <c r="D10" s="41" t="s">
        <v>68</v>
      </c>
      <c r="E10" s="12">
        <v>1</v>
      </c>
      <c r="F10" s="12">
        <v>1</v>
      </c>
      <c r="G10" s="65">
        <v>3.0209364999999998E-2</v>
      </c>
      <c r="H10" s="61" t="s">
        <v>69</v>
      </c>
      <c r="I10" s="15" t="s">
        <v>70</v>
      </c>
      <c r="J10" s="41" t="s">
        <v>71</v>
      </c>
      <c r="K10" s="62">
        <v>200000000</v>
      </c>
      <c r="L10" s="62">
        <v>147939435</v>
      </c>
      <c r="M10" s="62">
        <v>6041873</v>
      </c>
      <c r="N10" s="36">
        <f t="shared" si="0"/>
        <v>3.0209364999999999</v>
      </c>
    </row>
    <row r="11" spans="2:14" ht="54" customHeight="1" x14ac:dyDescent="0.25">
      <c r="B11" s="9">
        <v>4</v>
      </c>
      <c r="C11" s="10">
        <v>256</v>
      </c>
      <c r="D11" s="11" t="s">
        <v>72</v>
      </c>
      <c r="E11" s="12">
        <v>1</v>
      </c>
      <c r="F11" s="12">
        <v>1</v>
      </c>
      <c r="G11" s="65">
        <v>0.65343067921648434</v>
      </c>
      <c r="H11" s="61" t="s">
        <v>73</v>
      </c>
      <c r="I11" s="15" t="s">
        <v>74</v>
      </c>
      <c r="J11" s="41" t="s">
        <v>75</v>
      </c>
      <c r="K11" s="66">
        <v>196550000</v>
      </c>
      <c r="L11" s="66">
        <v>165231800</v>
      </c>
      <c r="M11" s="66">
        <v>128431800</v>
      </c>
      <c r="N11" s="67">
        <f t="shared" si="0"/>
        <v>65.343067921648441</v>
      </c>
    </row>
    <row r="12" spans="2:14" ht="56.25" customHeight="1" x14ac:dyDescent="0.25">
      <c r="B12" s="9">
        <v>5</v>
      </c>
      <c r="C12" s="10">
        <v>257</v>
      </c>
      <c r="D12" s="41" t="s">
        <v>76</v>
      </c>
      <c r="E12" s="68">
        <v>0</v>
      </c>
      <c r="F12" s="68">
        <v>1</v>
      </c>
      <c r="G12" s="69"/>
      <c r="H12" s="255"/>
      <c r="I12" s="252" t="s">
        <v>77</v>
      </c>
      <c r="J12" s="256" t="s">
        <v>78</v>
      </c>
      <c r="K12" s="66">
        <v>35700000</v>
      </c>
      <c r="L12" s="66">
        <v>22800000</v>
      </c>
      <c r="M12" s="66">
        <v>0</v>
      </c>
      <c r="N12" s="36">
        <f t="shared" si="0"/>
        <v>0</v>
      </c>
    </row>
    <row r="13" spans="2:14" ht="1.5" customHeight="1" x14ac:dyDescent="0.25">
      <c r="B13" s="9">
        <v>6</v>
      </c>
      <c r="C13" s="10">
        <v>258</v>
      </c>
      <c r="D13" s="41" t="s">
        <v>79</v>
      </c>
      <c r="E13" s="68">
        <v>0</v>
      </c>
      <c r="F13" s="68">
        <v>0</v>
      </c>
      <c r="G13" s="69"/>
      <c r="H13" s="255"/>
      <c r="I13" s="252"/>
      <c r="J13" s="256"/>
      <c r="K13" s="66">
        <v>0</v>
      </c>
      <c r="L13" s="66">
        <v>0</v>
      </c>
      <c r="M13" s="66">
        <v>0</v>
      </c>
      <c r="N13" s="36">
        <v>0</v>
      </c>
    </row>
    <row r="14" spans="2:14" ht="57" x14ac:dyDescent="0.25">
      <c r="B14" s="9">
        <v>7</v>
      </c>
      <c r="C14" s="10">
        <v>259</v>
      </c>
      <c r="D14" s="41" t="s">
        <v>80</v>
      </c>
      <c r="E14" s="70">
        <v>1</v>
      </c>
      <c r="F14" s="70">
        <v>1</v>
      </c>
      <c r="G14" s="71"/>
      <c r="H14" s="255"/>
      <c r="I14" s="252"/>
      <c r="J14" s="256"/>
      <c r="K14" s="66">
        <v>9000000</v>
      </c>
      <c r="L14" s="66">
        <v>9000000</v>
      </c>
      <c r="M14" s="66">
        <v>0</v>
      </c>
      <c r="N14" s="36">
        <f t="shared" si="0"/>
        <v>0</v>
      </c>
    </row>
    <row r="15" spans="2:14" ht="59.25" customHeight="1" x14ac:dyDescent="0.25">
      <c r="B15" s="9">
        <v>8</v>
      </c>
      <c r="C15" s="10">
        <v>263</v>
      </c>
      <c r="D15" s="41" t="s">
        <v>81</v>
      </c>
      <c r="E15" s="70">
        <v>1</v>
      </c>
      <c r="F15" s="70">
        <v>1</v>
      </c>
      <c r="G15" s="71">
        <v>2.6711185308848081E-2</v>
      </c>
      <c r="H15" s="255"/>
      <c r="I15" s="252"/>
      <c r="J15" s="256"/>
      <c r="K15" s="66">
        <v>59900000</v>
      </c>
      <c r="L15" s="66">
        <v>6400000</v>
      </c>
      <c r="M15" s="66">
        <v>1600000</v>
      </c>
      <c r="N15" s="36">
        <f t="shared" si="0"/>
        <v>2.671118530884808</v>
      </c>
    </row>
    <row r="16" spans="2:14" ht="57" x14ac:dyDescent="0.25">
      <c r="B16" s="9">
        <v>9</v>
      </c>
      <c r="C16" s="10">
        <v>261</v>
      </c>
      <c r="D16" s="41" t="s">
        <v>82</v>
      </c>
      <c r="E16" s="70">
        <v>1</v>
      </c>
      <c r="F16" s="70">
        <v>2</v>
      </c>
      <c r="G16" s="71"/>
      <c r="H16" s="255"/>
      <c r="I16" s="252"/>
      <c r="J16" s="256"/>
      <c r="K16" s="66">
        <v>27200000</v>
      </c>
      <c r="L16" s="66">
        <v>20000000</v>
      </c>
      <c r="M16" s="66">
        <v>0</v>
      </c>
      <c r="N16" s="36">
        <f t="shared" si="0"/>
        <v>0</v>
      </c>
    </row>
    <row r="17" spans="2:17" ht="85.5" x14ac:dyDescent="0.25">
      <c r="B17" s="9">
        <v>10</v>
      </c>
      <c r="C17" s="10">
        <v>262</v>
      </c>
      <c r="D17" s="11" t="s">
        <v>83</v>
      </c>
      <c r="E17" s="12">
        <v>1</v>
      </c>
      <c r="F17" s="12">
        <v>1</v>
      </c>
      <c r="G17" s="65"/>
      <c r="H17" s="61"/>
      <c r="I17" s="15" t="s">
        <v>84</v>
      </c>
      <c r="J17" s="41" t="s">
        <v>85</v>
      </c>
      <c r="K17" s="66">
        <v>100000000</v>
      </c>
      <c r="L17" s="66">
        <v>0</v>
      </c>
      <c r="M17" s="66">
        <v>0</v>
      </c>
      <c r="N17" s="36">
        <f t="shared" si="0"/>
        <v>0</v>
      </c>
    </row>
    <row r="18" spans="2:17" ht="85.5" x14ac:dyDescent="0.25">
      <c r="B18" s="9">
        <v>11</v>
      </c>
      <c r="C18" s="10">
        <v>264</v>
      </c>
      <c r="D18" s="11" t="s">
        <v>86</v>
      </c>
      <c r="E18" s="12">
        <v>0</v>
      </c>
      <c r="F18" s="12">
        <v>1</v>
      </c>
      <c r="G18" s="65"/>
      <c r="H18" s="61"/>
      <c r="I18" s="15" t="s">
        <v>87</v>
      </c>
      <c r="J18" s="41" t="s">
        <v>88</v>
      </c>
      <c r="K18" s="66">
        <v>100000000</v>
      </c>
      <c r="L18" s="66">
        <v>22800000</v>
      </c>
      <c r="M18" s="66">
        <v>0</v>
      </c>
      <c r="N18" s="36">
        <f t="shared" si="0"/>
        <v>0</v>
      </c>
    </row>
    <row r="19" spans="2:17" ht="71.25" x14ac:dyDescent="0.25">
      <c r="B19" s="9">
        <v>12</v>
      </c>
      <c r="C19" s="10">
        <v>265</v>
      </c>
      <c r="D19" s="11" t="s">
        <v>89</v>
      </c>
      <c r="E19" s="72">
        <v>0</v>
      </c>
      <c r="F19" s="72">
        <v>1</v>
      </c>
      <c r="G19" s="73">
        <v>0.22954194544518786</v>
      </c>
      <c r="H19" s="61" t="s">
        <v>90</v>
      </c>
      <c r="I19" s="15" t="s">
        <v>91</v>
      </c>
      <c r="J19" s="41" t="s">
        <v>92</v>
      </c>
      <c r="K19" s="66">
        <v>291450000</v>
      </c>
      <c r="L19" s="66">
        <v>129999999</v>
      </c>
      <c r="M19" s="66">
        <v>66900000</v>
      </c>
      <c r="N19" s="36">
        <f t="shared" si="0"/>
        <v>22.954194544518785</v>
      </c>
      <c r="Q19" t="s">
        <v>36</v>
      </c>
    </row>
    <row r="20" spans="2:17" ht="57" x14ac:dyDescent="0.25">
      <c r="B20" s="9">
        <v>13</v>
      </c>
      <c r="C20" s="10">
        <v>266</v>
      </c>
      <c r="D20" s="11" t="s">
        <v>93</v>
      </c>
      <c r="E20" s="12">
        <v>1</v>
      </c>
      <c r="F20" s="12">
        <v>1</v>
      </c>
      <c r="G20" s="65">
        <v>0.17499999999999999</v>
      </c>
      <c r="H20" s="61"/>
      <c r="I20" s="15" t="s">
        <v>94</v>
      </c>
      <c r="J20" s="41" t="s">
        <v>95</v>
      </c>
      <c r="K20" s="66">
        <v>16000000</v>
      </c>
      <c r="L20" s="66">
        <v>11200000</v>
      </c>
      <c r="M20" s="66">
        <v>2800000</v>
      </c>
      <c r="N20" s="36">
        <f t="shared" si="0"/>
        <v>17.5</v>
      </c>
    </row>
    <row r="21" spans="2:17" ht="77.25" customHeight="1" x14ac:dyDescent="0.25">
      <c r="B21" s="9">
        <v>14</v>
      </c>
      <c r="C21" s="10">
        <v>267</v>
      </c>
      <c r="D21" s="11" t="s">
        <v>96</v>
      </c>
      <c r="E21" s="12">
        <v>1</v>
      </c>
      <c r="F21" s="12">
        <v>1</v>
      </c>
      <c r="G21" s="74">
        <v>0</v>
      </c>
      <c r="H21" s="255"/>
      <c r="I21" s="252" t="s">
        <v>97</v>
      </c>
      <c r="J21" s="253" t="s">
        <v>98</v>
      </c>
      <c r="K21" s="66">
        <v>17500000</v>
      </c>
      <c r="L21" s="66">
        <v>17200000</v>
      </c>
      <c r="M21" s="66">
        <v>0</v>
      </c>
      <c r="N21" s="36">
        <f t="shared" si="0"/>
        <v>0</v>
      </c>
    </row>
    <row r="22" spans="2:17" ht="150" customHeight="1" x14ac:dyDescent="0.25">
      <c r="B22" s="9">
        <v>15</v>
      </c>
      <c r="C22" s="10">
        <v>268</v>
      </c>
      <c r="D22" s="11" t="s">
        <v>99</v>
      </c>
      <c r="E22" s="12">
        <v>12</v>
      </c>
      <c r="F22" s="12">
        <v>12</v>
      </c>
      <c r="G22" s="65"/>
      <c r="H22" s="255"/>
      <c r="I22" s="252"/>
      <c r="J22" s="253"/>
      <c r="K22" s="66">
        <v>18672500</v>
      </c>
      <c r="L22" s="66">
        <v>1687500</v>
      </c>
      <c r="M22" s="66">
        <v>0</v>
      </c>
      <c r="N22" s="36">
        <f t="shared" si="0"/>
        <v>0</v>
      </c>
    </row>
    <row r="23" spans="2:17" ht="99.75" x14ac:dyDescent="0.25">
      <c r="B23" s="9">
        <v>16</v>
      </c>
      <c r="C23" s="10">
        <v>269</v>
      </c>
      <c r="D23" s="11" t="s">
        <v>100</v>
      </c>
      <c r="E23" s="12">
        <v>12</v>
      </c>
      <c r="F23" s="12">
        <v>12</v>
      </c>
      <c r="G23" s="65">
        <v>0</v>
      </c>
      <c r="H23" s="255"/>
      <c r="I23" s="252"/>
      <c r="J23" s="253"/>
      <c r="K23" s="66">
        <v>15172500</v>
      </c>
      <c r="L23" s="66">
        <v>14487500</v>
      </c>
      <c r="M23" s="66">
        <v>3200000</v>
      </c>
      <c r="N23" s="36">
        <f t="shared" si="0"/>
        <v>0</v>
      </c>
    </row>
    <row r="24" spans="2:17" ht="146.25" customHeight="1" x14ac:dyDescent="0.25">
      <c r="B24" s="9">
        <v>17</v>
      </c>
      <c r="C24" s="10">
        <v>270</v>
      </c>
      <c r="D24" s="11" t="s">
        <v>101</v>
      </c>
      <c r="E24" s="12" t="s">
        <v>16</v>
      </c>
      <c r="F24" s="12">
        <v>12</v>
      </c>
      <c r="G24" s="65">
        <v>0</v>
      </c>
      <c r="H24" s="255"/>
      <c r="I24" s="252"/>
      <c r="J24" s="253"/>
      <c r="K24" s="66">
        <v>15172500</v>
      </c>
      <c r="L24" s="66">
        <v>11687500</v>
      </c>
      <c r="M24" s="66">
        <v>2500000</v>
      </c>
      <c r="N24" s="36">
        <f t="shared" si="0"/>
        <v>0</v>
      </c>
    </row>
    <row r="25" spans="2:17" ht="128.25" x14ac:dyDescent="0.25">
      <c r="B25" s="9">
        <v>18</v>
      </c>
      <c r="C25" s="75">
        <v>271</v>
      </c>
      <c r="D25" s="11" t="s">
        <v>102</v>
      </c>
      <c r="E25" s="12">
        <v>12</v>
      </c>
      <c r="F25" s="12">
        <v>12</v>
      </c>
      <c r="G25" s="65">
        <v>0</v>
      </c>
      <c r="H25" s="255"/>
      <c r="I25" s="252"/>
      <c r="J25" s="253"/>
      <c r="K25" s="66">
        <v>28492500</v>
      </c>
      <c r="L25" s="66">
        <v>22087500</v>
      </c>
      <c r="M25" s="66">
        <v>5100000</v>
      </c>
      <c r="N25" s="36">
        <f t="shared" si="0"/>
        <v>0</v>
      </c>
    </row>
    <row r="26" spans="2:17" ht="99.75" x14ac:dyDescent="0.25">
      <c r="B26" s="9">
        <v>19</v>
      </c>
      <c r="C26" s="10">
        <v>272</v>
      </c>
      <c r="D26" s="11" t="s">
        <v>103</v>
      </c>
      <c r="E26" s="12" t="s">
        <v>16</v>
      </c>
      <c r="F26" s="12">
        <v>12</v>
      </c>
      <c r="G26" s="64"/>
      <c r="H26" s="255"/>
      <c r="I26" s="252"/>
      <c r="J26" s="253"/>
      <c r="K26" s="66">
        <v>15172500</v>
      </c>
      <c r="L26" s="66">
        <v>15172500</v>
      </c>
      <c r="M26" s="66">
        <v>0</v>
      </c>
      <c r="N26" s="36">
        <f t="shared" si="0"/>
        <v>0</v>
      </c>
    </row>
    <row r="27" spans="2:17" ht="147.75" customHeight="1" x14ac:dyDescent="0.25">
      <c r="B27" s="9">
        <v>20</v>
      </c>
      <c r="C27" s="10">
        <v>273</v>
      </c>
      <c r="D27" s="11" t="s">
        <v>104</v>
      </c>
      <c r="E27" s="12">
        <v>12</v>
      </c>
      <c r="F27" s="12">
        <v>12</v>
      </c>
      <c r="G27" s="64"/>
      <c r="H27" s="255"/>
      <c r="I27" s="252"/>
      <c r="J27" s="253"/>
      <c r="K27" s="66">
        <v>2672500</v>
      </c>
      <c r="L27" s="66">
        <v>1687500</v>
      </c>
      <c r="M27" s="66">
        <v>0</v>
      </c>
      <c r="N27" s="36">
        <f t="shared" si="0"/>
        <v>0</v>
      </c>
    </row>
    <row r="28" spans="2:17" ht="93.75" customHeight="1" x14ac:dyDescent="0.25">
      <c r="B28" s="9">
        <v>21</v>
      </c>
      <c r="C28" s="10">
        <v>274</v>
      </c>
      <c r="D28" s="11" t="s">
        <v>105</v>
      </c>
      <c r="E28" s="12" t="s">
        <v>16</v>
      </c>
      <c r="F28" s="12">
        <v>12</v>
      </c>
      <c r="G28" s="64"/>
      <c r="H28" s="255"/>
      <c r="I28" s="252"/>
      <c r="J28" s="253"/>
      <c r="K28" s="66">
        <v>12672500</v>
      </c>
      <c r="L28" s="66">
        <v>11369166</v>
      </c>
      <c r="M28" s="66">
        <v>0</v>
      </c>
      <c r="N28" s="36">
        <f t="shared" si="0"/>
        <v>0</v>
      </c>
    </row>
    <row r="29" spans="2:17" ht="124.5" customHeight="1" x14ac:dyDescent="0.25">
      <c r="B29" s="9">
        <v>22</v>
      </c>
      <c r="C29" s="10">
        <v>260</v>
      </c>
      <c r="D29" s="11" t="s">
        <v>106</v>
      </c>
      <c r="E29" s="12">
        <v>12</v>
      </c>
      <c r="F29" s="12">
        <v>12</v>
      </c>
      <c r="G29" s="64"/>
      <c r="H29" s="255"/>
      <c r="I29" s="252"/>
      <c r="J29" s="253"/>
      <c r="K29" s="66">
        <v>18672500</v>
      </c>
      <c r="L29" s="66">
        <v>1687500</v>
      </c>
      <c r="M29" s="66">
        <v>0</v>
      </c>
      <c r="N29" s="36">
        <f t="shared" si="0"/>
        <v>0</v>
      </c>
    </row>
    <row r="30" spans="2:17" ht="47.25" customHeight="1" x14ac:dyDescent="0.25">
      <c r="B30" s="22"/>
      <c r="C30" s="76"/>
      <c r="D30" s="76" t="s">
        <v>28</v>
      </c>
      <c r="E30" s="76"/>
      <c r="F30" s="76"/>
      <c r="G30" s="76"/>
      <c r="H30" s="76"/>
      <c r="I30" s="76"/>
      <c r="J30" s="76"/>
      <c r="K30" s="77">
        <f>SUM(K8:K29)</f>
        <v>1235000000</v>
      </c>
      <c r="L30" s="77">
        <f t="shared" ref="L30:M30" si="1">SUM(L8:L29)</f>
        <v>652437900</v>
      </c>
      <c r="M30" s="77">
        <f t="shared" si="1"/>
        <v>221573673</v>
      </c>
      <c r="N30" s="77"/>
    </row>
    <row r="34" spans="4:8" ht="69" customHeight="1" x14ac:dyDescent="0.25">
      <c r="D34" s="20" t="s">
        <v>22</v>
      </c>
      <c r="E34" s="21" t="s">
        <v>23</v>
      </c>
      <c r="F34" s="22" t="s">
        <v>24</v>
      </c>
      <c r="H34" s="23" t="s">
        <v>24</v>
      </c>
    </row>
    <row r="35" spans="4:8" x14ac:dyDescent="0.25">
      <c r="D35" s="24" t="s">
        <v>25</v>
      </c>
      <c r="E35" s="9">
        <v>0</v>
      </c>
      <c r="F35" s="9">
        <f>+E35/$E$38*100</f>
        <v>0</v>
      </c>
      <c r="H35" s="25" t="e">
        <f>+E35/$G$25*100</f>
        <v>#DIV/0!</v>
      </c>
    </row>
    <row r="36" spans="4:8" x14ac:dyDescent="0.25">
      <c r="D36" s="24" t="s">
        <v>26</v>
      </c>
      <c r="E36" s="78">
        <v>1</v>
      </c>
      <c r="F36" s="78">
        <f t="shared" ref="F36:F38" si="2">+E36/$E$38*100</f>
        <v>4.5454545454545459</v>
      </c>
      <c r="H36" s="25" t="e">
        <f t="shared" ref="H36:H38" si="3">+E36/$G$25*100</f>
        <v>#DIV/0!</v>
      </c>
    </row>
    <row r="37" spans="4:8" x14ac:dyDescent="0.25">
      <c r="D37" s="24" t="s">
        <v>27</v>
      </c>
      <c r="E37" s="78">
        <v>21</v>
      </c>
      <c r="F37" s="78">
        <f t="shared" si="2"/>
        <v>95.454545454545453</v>
      </c>
      <c r="H37" s="25" t="e">
        <f t="shared" si="3"/>
        <v>#DIV/0!</v>
      </c>
    </row>
    <row r="38" spans="4:8" x14ac:dyDescent="0.25">
      <c r="D38" s="79" t="s">
        <v>28</v>
      </c>
      <c r="E38" s="51">
        <f>SUM(E35:E37)</f>
        <v>22</v>
      </c>
      <c r="F38" s="78">
        <f t="shared" si="2"/>
        <v>100</v>
      </c>
      <c r="H38" s="25" t="e">
        <f t="shared" si="3"/>
        <v>#DIV/0!</v>
      </c>
    </row>
  </sheetData>
  <mergeCells count="10">
    <mergeCell ref="H21:H29"/>
    <mergeCell ref="I21:I29"/>
    <mergeCell ref="J21:J29"/>
    <mergeCell ref="B2:N2"/>
    <mergeCell ref="B3:N3"/>
    <mergeCell ref="B4:N4"/>
    <mergeCell ref="B5:N5"/>
    <mergeCell ref="H12:H16"/>
    <mergeCell ref="I12:I16"/>
    <mergeCell ref="J12:J16"/>
  </mergeCells>
  <pageMargins left="0.7" right="0.7" top="0.75" bottom="0.75" header="0.3" footer="0.3"/>
  <pageSetup scale="48" orientation="landscape" r:id="rId1"/>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Representación Judicial</vt:lpstr>
      <vt:lpstr>Agricultura</vt:lpstr>
      <vt:lpstr>Familia</vt:lpstr>
      <vt:lpstr>Turismo</vt:lpstr>
      <vt:lpstr>Hacienda</vt:lpstr>
      <vt:lpstr>Aguas e Infraestructura</vt:lpstr>
      <vt:lpstr>Administrativa</vt:lpstr>
      <vt:lpstr>Salud</vt:lpstr>
      <vt:lpstr>Planeación</vt:lpstr>
      <vt:lpstr>Privada</vt:lpstr>
      <vt:lpstr>Cultura</vt:lpstr>
      <vt:lpstr>Educación</vt:lpstr>
      <vt:lpstr>Interior</vt:lpstr>
      <vt:lpstr>'Aguas e Infraestructura'!Área_de_impresión</vt:lpstr>
      <vt:lpstr>Cultura!Área_de_impresión</vt:lpstr>
      <vt:lpstr>Planeación!Área_de_impresión</vt:lpstr>
      <vt:lpstr>Turismo!Área_de_impresión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INGTIC03</cp:lastModifiedBy>
  <dcterms:created xsi:type="dcterms:W3CDTF">2016-11-23T19:26:19Z</dcterms:created>
  <dcterms:modified xsi:type="dcterms:W3CDTF">2016-11-24T15:01:26Z</dcterms:modified>
</cp:coreProperties>
</file>